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6950" windowHeight="7470" activeTab="0"/>
  </bookViews>
  <sheets>
    <sheet name="Berechnung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Manfred</author>
  </authors>
  <commentList>
    <comment ref="W1" authorId="0">
      <text>
        <r>
          <rPr>
            <b/>
            <sz val="8"/>
            <rFont val="Tahoma"/>
            <family val="2"/>
          </rPr>
          <t>Manfred:</t>
        </r>
        <r>
          <rPr>
            <sz val="8"/>
            <rFont val="Tahoma"/>
            <family val="2"/>
          </rPr>
          <t xml:space="preserve">
Berechnung a</t>
        </r>
      </text>
    </comment>
    <comment ref="X1" authorId="0">
      <text>
        <r>
          <rPr>
            <b/>
            <sz val="8"/>
            <rFont val="Tahoma"/>
            <family val="2"/>
          </rPr>
          <t>Manfred:</t>
        </r>
        <r>
          <rPr>
            <sz val="8"/>
            <rFont val="Tahoma"/>
            <family val="2"/>
          </rPr>
          <t xml:space="preserve">
Berechnung Y</t>
        </r>
      </text>
    </comment>
    <comment ref="A12" authorId="0">
      <text>
        <r>
          <rPr>
            <b/>
            <sz val="8"/>
            <rFont val="Tahoma"/>
            <family val="2"/>
          </rPr>
          <t>Manfred:</t>
        </r>
        <r>
          <rPr>
            <sz val="8"/>
            <rFont val="Tahoma"/>
            <family val="2"/>
          </rPr>
          <t xml:space="preserve">
Abstand nicht in der Waagrechten sondern am Dach von den unteren Montagebefestigunge zur oberen Montagebefestigung bei gewählter Dachneigung gemessen !</t>
        </r>
      </text>
    </comment>
    <comment ref="A15" authorId="0">
      <text>
        <r>
          <rPr>
            <b/>
            <sz val="8"/>
            <rFont val="Tahoma"/>
            <family val="2"/>
          </rPr>
          <t>Manfred:</t>
        </r>
        <r>
          <rPr>
            <sz val="8"/>
            <rFont val="Tahoma"/>
            <family val="2"/>
          </rPr>
          <t xml:space="preserve">
Verschattung der hinteren Kollektorreihe bei gewählten Sonnenstand bei direkter Einstrahlung (nicht seitlich) wenn die obere Reihe gleich lang ist !</t>
        </r>
      </text>
    </comment>
    <comment ref="W2" authorId="0">
      <text>
        <r>
          <rPr>
            <b/>
            <sz val="8"/>
            <rFont val="Tahoma"/>
            <family val="2"/>
          </rPr>
          <t>Manfred:
=</t>
        </r>
        <r>
          <rPr>
            <sz val="8"/>
            <rFont val="Tahoma"/>
            <family val="2"/>
          </rPr>
          <t xml:space="preserve"> c2</t>
        </r>
      </text>
    </comment>
    <comment ref="Y2" authorId="0">
      <text>
        <r>
          <rPr>
            <b/>
            <sz val="8"/>
            <rFont val="Tahoma"/>
            <family val="2"/>
          </rPr>
          <t>Manfred:</t>
        </r>
        <r>
          <rPr>
            <sz val="8"/>
            <rFont val="Tahoma"/>
            <family val="2"/>
          </rPr>
          <t xml:space="preserve">
Berechnung a2</t>
        </r>
      </text>
    </comment>
    <comment ref="X2" authorId="0">
      <text>
        <r>
          <rPr>
            <b/>
            <sz val="8"/>
            <rFont val="Tahoma"/>
            <family val="2"/>
          </rPr>
          <t>Manfred:</t>
        </r>
        <r>
          <rPr>
            <sz val="8"/>
            <rFont val="Tahoma"/>
            <family val="2"/>
          </rPr>
          <t xml:space="preserve">
=y2</t>
        </r>
      </text>
    </comment>
    <comment ref="Z2" authorId="0">
      <text>
        <r>
          <rPr>
            <b/>
            <sz val="8"/>
            <rFont val="Tahoma"/>
            <family val="2"/>
          </rPr>
          <t>Manfred:</t>
        </r>
        <r>
          <rPr>
            <sz val="8"/>
            <rFont val="Tahoma"/>
            <family val="2"/>
          </rPr>
          <t xml:space="preserve">
Berechnung b2</t>
        </r>
      </text>
    </comment>
    <comment ref="AA2" authorId="0">
      <text>
        <r>
          <rPr>
            <b/>
            <sz val="8"/>
            <rFont val="Tahoma"/>
            <family val="2"/>
          </rPr>
          <t>Manfred:</t>
        </r>
        <r>
          <rPr>
            <sz val="8"/>
            <rFont val="Tahoma"/>
            <family val="2"/>
          </rPr>
          <t xml:space="preserve">
sichtbare Höhe der oberen Reihe</t>
        </r>
      </text>
    </comment>
    <comment ref="AB2" authorId="0">
      <text>
        <r>
          <rPr>
            <b/>
            <sz val="8"/>
            <rFont val="Tahoma"/>
            <family val="2"/>
          </rPr>
          <t>Manfred:</t>
        </r>
        <r>
          <rPr>
            <sz val="8"/>
            <rFont val="Tahoma"/>
            <family val="2"/>
          </rPr>
          <t xml:space="preserve">
Verschattung der oberen Reihe in %</t>
        </r>
      </text>
    </comment>
    <comment ref="Y1" authorId="0">
      <text>
        <r>
          <rPr>
            <b/>
            <sz val="8"/>
            <rFont val="Tahoma"/>
            <family val="2"/>
          </rPr>
          <t>Manfred:</t>
        </r>
        <r>
          <rPr>
            <sz val="8"/>
            <rFont val="Tahoma"/>
            <family val="2"/>
          </rPr>
          <t xml:space="preserve">
Berechnung c</t>
        </r>
      </text>
    </comment>
    <comment ref="A13" authorId="0">
      <text>
        <r>
          <rPr>
            <b/>
            <sz val="8"/>
            <rFont val="Tahoma"/>
            <family val="2"/>
          </rPr>
          <t>Manfred:</t>
        </r>
        <r>
          <rPr>
            <sz val="8"/>
            <rFont val="Tahoma"/>
            <family val="2"/>
          </rPr>
          <t xml:space="preserve">
Eingabe nicht unbedingt erforderlich !
Abstand nicht in der Waagrechten sondern am Dach von den unteren Montagebefestigunge zur oberen Montagebefestigung bei gewählter Dachneigung gemessen !</t>
        </r>
      </text>
    </comment>
    <comment ref="W4" authorId="0">
      <text>
        <r>
          <rPr>
            <b/>
            <sz val="8"/>
            <rFont val="Tahoma"/>
            <family val="2"/>
          </rPr>
          <t>Manfred:</t>
        </r>
        <r>
          <rPr>
            <sz val="8"/>
            <rFont val="Tahoma"/>
            <family val="2"/>
          </rPr>
          <t xml:space="preserve">
Berechnung a</t>
        </r>
      </text>
    </comment>
    <comment ref="X4" authorId="0">
      <text>
        <r>
          <rPr>
            <b/>
            <sz val="8"/>
            <rFont val="Tahoma"/>
            <family val="2"/>
          </rPr>
          <t>Manfred:</t>
        </r>
        <r>
          <rPr>
            <sz val="8"/>
            <rFont val="Tahoma"/>
            <family val="2"/>
          </rPr>
          <t xml:space="preserve">
Berechnung Y</t>
        </r>
      </text>
    </comment>
    <comment ref="Y4" authorId="0">
      <text>
        <r>
          <rPr>
            <b/>
            <sz val="8"/>
            <rFont val="Tahoma"/>
            <family val="2"/>
          </rPr>
          <t>Manfred:</t>
        </r>
        <r>
          <rPr>
            <sz val="8"/>
            <rFont val="Tahoma"/>
            <family val="2"/>
          </rPr>
          <t xml:space="preserve">
Berechnung c</t>
        </r>
      </text>
    </comment>
    <comment ref="Z4" authorId="0">
      <text>
        <r>
          <rPr>
            <b/>
            <sz val="8"/>
            <rFont val="Tahoma"/>
            <family val="2"/>
          </rPr>
          <t>Manfred:
=</t>
        </r>
        <r>
          <rPr>
            <sz val="8"/>
            <rFont val="Tahoma"/>
            <family val="2"/>
          </rPr>
          <t xml:space="preserve"> c2</t>
        </r>
      </text>
    </comment>
    <comment ref="AA4" authorId="0">
      <text>
        <r>
          <rPr>
            <b/>
            <sz val="8"/>
            <rFont val="Tahoma"/>
            <family val="2"/>
          </rPr>
          <t>Manfred:</t>
        </r>
        <r>
          <rPr>
            <sz val="8"/>
            <rFont val="Tahoma"/>
            <family val="2"/>
          </rPr>
          <t xml:space="preserve">
=y2</t>
        </r>
      </text>
    </comment>
    <comment ref="AB4" authorId="0">
      <text>
        <r>
          <rPr>
            <b/>
            <sz val="8"/>
            <rFont val="Tahoma"/>
            <family val="2"/>
          </rPr>
          <t>Manfred:</t>
        </r>
        <r>
          <rPr>
            <sz val="8"/>
            <rFont val="Tahoma"/>
            <family val="2"/>
          </rPr>
          <t xml:space="preserve">
Berechnung a2</t>
        </r>
      </text>
    </comment>
    <comment ref="AC4" authorId="0">
      <text>
        <r>
          <rPr>
            <b/>
            <sz val="8"/>
            <rFont val="Tahoma"/>
            <family val="2"/>
          </rPr>
          <t>Manfred:</t>
        </r>
        <r>
          <rPr>
            <sz val="8"/>
            <rFont val="Tahoma"/>
            <family val="2"/>
          </rPr>
          <t xml:space="preserve">
Berechnung b2</t>
        </r>
      </text>
    </comment>
    <comment ref="AD4" authorId="0">
      <text>
        <r>
          <rPr>
            <b/>
            <sz val="8"/>
            <rFont val="Tahoma"/>
            <family val="2"/>
          </rPr>
          <t>Manfred:</t>
        </r>
        <r>
          <rPr>
            <sz val="8"/>
            <rFont val="Tahoma"/>
            <family val="2"/>
          </rPr>
          <t xml:space="preserve">
sichtbare Höhe der oberen Reihe</t>
        </r>
      </text>
    </comment>
    <comment ref="AE4" authorId="0">
      <text>
        <r>
          <rPr>
            <b/>
            <sz val="8"/>
            <rFont val="Tahoma"/>
            <family val="2"/>
          </rPr>
          <t>Manfred:</t>
        </r>
        <r>
          <rPr>
            <sz val="8"/>
            <rFont val="Tahoma"/>
            <family val="2"/>
          </rPr>
          <t xml:space="preserve">
Verschattung der oberen Reihe in %</t>
        </r>
      </text>
    </comment>
    <comment ref="AG4" authorId="0">
      <text>
        <r>
          <rPr>
            <b/>
            <sz val="8"/>
            <rFont val="Tahoma"/>
            <family val="2"/>
          </rPr>
          <t>Manfred:</t>
        </r>
        <r>
          <rPr>
            <sz val="8"/>
            <rFont val="Tahoma"/>
            <family val="2"/>
          </rPr>
          <t xml:space="preserve">
Berechnung a</t>
        </r>
      </text>
    </comment>
    <comment ref="AH4" authorId="0">
      <text>
        <r>
          <rPr>
            <b/>
            <sz val="8"/>
            <rFont val="Tahoma"/>
            <family val="2"/>
          </rPr>
          <t>Manfred:</t>
        </r>
        <r>
          <rPr>
            <sz val="8"/>
            <rFont val="Tahoma"/>
            <family val="2"/>
          </rPr>
          <t xml:space="preserve">
Berechnung Y</t>
        </r>
      </text>
    </comment>
    <comment ref="AI4" authorId="0">
      <text>
        <r>
          <rPr>
            <b/>
            <sz val="8"/>
            <rFont val="Tahoma"/>
            <family val="2"/>
          </rPr>
          <t>Manfred:</t>
        </r>
        <r>
          <rPr>
            <sz val="8"/>
            <rFont val="Tahoma"/>
            <family val="2"/>
          </rPr>
          <t xml:space="preserve">
Berechnung c</t>
        </r>
      </text>
    </comment>
    <comment ref="AJ4" authorId="0">
      <text>
        <r>
          <rPr>
            <b/>
            <sz val="8"/>
            <rFont val="Tahoma"/>
            <family val="2"/>
          </rPr>
          <t>Manfred:
=</t>
        </r>
        <r>
          <rPr>
            <sz val="8"/>
            <rFont val="Tahoma"/>
            <family val="2"/>
          </rPr>
          <t xml:space="preserve"> c2</t>
        </r>
      </text>
    </comment>
    <comment ref="AK4" authorId="0">
      <text>
        <r>
          <rPr>
            <b/>
            <sz val="8"/>
            <rFont val="Tahoma"/>
            <family val="2"/>
          </rPr>
          <t>Manfred:</t>
        </r>
        <r>
          <rPr>
            <sz val="8"/>
            <rFont val="Tahoma"/>
            <family val="2"/>
          </rPr>
          <t xml:space="preserve">
=y2</t>
        </r>
      </text>
    </comment>
    <comment ref="AL4" authorId="0">
      <text>
        <r>
          <rPr>
            <b/>
            <sz val="8"/>
            <rFont val="Tahoma"/>
            <family val="2"/>
          </rPr>
          <t>Manfred:</t>
        </r>
        <r>
          <rPr>
            <sz val="8"/>
            <rFont val="Tahoma"/>
            <family val="2"/>
          </rPr>
          <t xml:space="preserve">
Berechnung a2</t>
        </r>
      </text>
    </comment>
    <comment ref="AM4" authorId="0">
      <text>
        <r>
          <rPr>
            <b/>
            <sz val="8"/>
            <rFont val="Tahoma"/>
            <family val="2"/>
          </rPr>
          <t>Manfred:</t>
        </r>
        <r>
          <rPr>
            <sz val="8"/>
            <rFont val="Tahoma"/>
            <family val="2"/>
          </rPr>
          <t xml:space="preserve">
Berechnung b2</t>
        </r>
      </text>
    </comment>
    <comment ref="AN4" authorId="0">
      <text>
        <r>
          <rPr>
            <b/>
            <sz val="8"/>
            <rFont val="Tahoma"/>
            <family val="2"/>
          </rPr>
          <t>Manfred:</t>
        </r>
        <r>
          <rPr>
            <sz val="8"/>
            <rFont val="Tahoma"/>
            <family val="2"/>
          </rPr>
          <t xml:space="preserve">
unverschattete sichtbare Höhe (cm) der hinteren Reihe</t>
        </r>
      </text>
    </comment>
    <comment ref="AR4" authorId="0">
      <text>
        <r>
          <rPr>
            <b/>
            <sz val="8"/>
            <rFont val="Tahoma"/>
            <family val="2"/>
          </rPr>
          <t>Manfred:</t>
        </r>
        <r>
          <rPr>
            <sz val="8"/>
            <rFont val="Tahoma"/>
            <family val="2"/>
          </rPr>
          <t xml:space="preserve">
Verschattung der oberen Reihe in %</t>
        </r>
      </text>
    </comment>
    <comment ref="A19" authorId="0">
      <text>
        <r>
          <rPr>
            <b/>
            <sz val="8"/>
            <rFont val="Tahoma"/>
            <family val="2"/>
          </rPr>
          <t>Manfred:</t>
        </r>
        <r>
          <rPr>
            <sz val="8"/>
            <rFont val="Tahoma"/>
            <family val="2"/>
          </rPr>
          <t xml:space="preserve">
Eingaben immer am 15. 
des jeweiligen Monats !!</t>
        </r>
      </text>
    </comment>
    <comment ref="A11" authorId="0">
      <text>
        <r>
          <rPr>
            <b/>
            <sz val="8"/>
            <rFont val="Tahoma"/>
            <family val="0"/>
          </rPr>
          <t>Manfred:</t>
        </r>
        <r>
          <rPr>
            <sz val="8"/>
            <rFont val="Tahoma"/>
            <family val="0"/>
          </rPr>
          <t xml:space="preserve">
Berechnug nur für 2 gleich breite Felder möglich</t>
        </r>
      </text>
    </comment>
    <comment ref="AO4" authorId="0">
      <text>
        <r>
          <rPr>
            <b/>
            <sz val="8"/>
            <rFont val="Tahoma"/>
            <family val="2"/>
          </rPr>
          <t>Manfred:</t>
        </r>
        <r>
          <rPr>
            <sz val="8"/>
            <rFont val="Tahoma"/>
            <family val="2"/>
          </rPr>
          <t xml:space="preserve">
Kollektorfeldlänge (cm) mit Verschattung
(mit seitlicher Bewertung)</t>
        </r>
      </text>
    </comment>
    <comment ref="AQ4" authorId="0">
      <text>
        <r>
          <rPr>
            <b/>
            <sz val="8"/>
            <rFont val="Tahoma"/>
            <family val="2"/>
          </rPr>
          <t>Manfred:</t>
        </r>
        <r>
          <rPr>
            <sz val="8"/>
            <rFont val="Tahoma"/>
            <family val="2"/>
          </rPr>
          <t xml:space="preserve">
verschattete Fläche der hinteren Kollektorreihe</t>
        </r>
      </text>
    </comment>
    <comment ref="E3" authorId="0">
      <text>
        <r>
          <rPr>
            <b/>
            <sz val="8"/>
            <rFont val="Tahoma"/>
            <family val="2"/>
          </rPr>
          <t>Manfred:</t>
        </r>
        <r>
          <rPr>
            <sz val="8"/>
            <rFont val="Tahoma"/>
            <family val="2"/>
          </rPr>
          <t xml:space="preserve">
bei direkter Einstrahlung</t>
        </r>
      </text>
    </comment>
    <comment ref="K3" authorId="0">
      <text>
        <r>
          <rPr>
            <b/>
            <sz val="8"/>
            <rFont val="Tahoma"/>
            <family val="2"/>
          </rPr>
          <t>Manfred:</t>
        </r>
        <r>
          <rPr>
            <sz val="8"/>
            <rFont val="Tahoma"/>
            <family val="2"/>
          </rPr>
          <t xml:space="preserve">
Sonnenhöhe bei Südabweichung (Azimut) 
Daten z.B. mit Getsolar heraussuchen !</t>
        </r>
      </text>
    </comment>
    <comment ref="AP4" authorId="0">
      <text>
        <r>
          <rPr>
            <b/>
            <sz val="8"/>
            <rFont val="Tahoma"/>
            <family val="2"/>
          </rPr>
          <t>Manfred:
unverschattete Länge (m) der hinteren Kollektorreihe</t>
        </r>
        <r>
          <rPr>
            <sz val="8"/>
            <rFont val="Tahoma"/>
            <family val="2"/>
          </rPr>
          <t xml:space="preserve">
</t>
        </r>
      </text>
    </comment>
    <comment ref="P3" authorId="0">
      <text>
        <r>
          <rPr>
            <b/>
            <sz val="8"/>
            <rFont val="Tahoma"/>
            <family val="0"/>
          </rPr>
          <t>Manfred:</t>
        </r>
        <r>
          <rPr>
            <sz val="8"/>
            <rFont val="Tahoma"/>
            <family val="0"/>
          </rPr>
          <t xml:space="preserve">
Leistung nach optischer sichtbarer Größe bei eingestellter Sonnenhöhe und Azimut mit abgezogener Verschattung !</t>
        </r>
      </text>
    </comment>
    <comment ref="I3" authorId="0">
      <text>
        <r>
          <rPr>
            <b/>
            <sz val="8"/>
            <rFont val="Tahoma"/>
            <family val="0"/>
          </rPr>
          <t>Manfred:</t>
        </r>
        <r>
          <rPr>
            <sz val="8"/>
            <rFont val="Tahoma"/>
            <family val="0"/>
          </rPr>
          <t xml:space="preserve">
Leistung nach optischer sichtbarer Größe bei eingestellter Sonnenhöhe und Azimut 0 (direkt)
mit abgezogener Verschattung !</t>
        </r>
      </text>
    </comment>
  </commentList>
</comments>
</file>

<file path=xl/sharedStrings.xml><?xml version="1.0" encoding="utf-8"?>
<sst xmlns="http://schemas.openxmlformats.org/spreadsheetml/2006/main" count="60" uniqueCount="56">
  <si>
    <t>allgemeine Eingaben</t>
  </si>
  <si>
    <t>Verschattung bei manuell gewählten Abstand (%)</t>
  </si>
  <si>
    <t>Dachneigung (°)</t>
  </si>
  <si>
    <t>Monat</t>
  </si>
  <si>
    <t>Mrz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</si>
  <si>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</si>
  <si>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</si>
  <si>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</si>
  <si>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</si>
  <si>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</si>
  <si>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</si>
  <si>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</si>
  <si>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</si>
  <si>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</si>
  <si>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Jan</t>
  </si>
  <si>
    <t>Feb</t>
  </si>
  <si>
    <t>Kollektorfeldbreite (cm)</t>
  </si>
  <si>
    <t>perfekter Abstand bei gewählter Sonnenhöhe ! (cm)</t>
  </si>
  <si>
    <t>Gesamtfläche (m²)</t>
  </si>
  <si>
    <t>Sonnenhöhe b. Azimut</t>
  </si>
  <si>
    <t>Berechnung für Sonnenhöhe (°)</t>
  </si>
  <si>
    <t>Eingabe manuell gewählter Abstand (cm)</t>
  </si>
  <si>
    <t>Berechneter Abstand waagrecht (cm)</t>
  </si>
  <si>
    <t>sonstige  Berechnungen</t>
  </si>
  <si>
    <t>berechneter Reihenabstand waagrecht (cm)</t>
  </si>
  <si>
    <t>Kollektorfeldbreite (m)</t>
  </si>
  <si>
    <t>Kollektorfeldhöhe (m)</t>
  </si>
  <si>
    <t>Berechnung der optisch sichtbaren Fläche bei Sonnenhöhe (°)</t>
  </si>
  <si>
    <t>Berechnung der optisch sichtbaren Fläche bei Azimut (°)</t>
  </si>
  <si>
    <t>optisch sichtbare Gesamtfläche (m²)</t>
  </si>
  <si>
    <t>Leistung der optisch sichtbare Gesamtfläche (%)</t>
  </si>
  <si>
    <t>Kollektorneigungswinkel (°)</t>
  </si>
  <si>
    <t>sichtbare Kollektorfeldbreite (m)</t>
  </si>
  <si>
    <t>sichtbare Kollektorfeldhöhe (m)</t>
  </si>
  <si>
    <t>Sonnenhöhe direkt</t>
  </si>
  <si>
    <t>Eingaben vordere Reihe</t>
  </si>
  <si>
    <t>Eingaben hintere Reihe</t>
  </si>
  <si>
    <t>Fläche vordere Reihe (m²)</t>
  </si>
  <si>
    <t>Fläche hintere Reihe (m²)</t>
  </si>
  <si>
    <t>vorne m²</t>
  </si>
  <si>
    <t>hinten m²</t>
  </si>
  <si>
    <t>Leistung %</t>
  </si>
  <si>
    <t>Versch. b. Azimut</t>
  </si>
  <si>
    <t>Kollektorhöhe vordere Reihe (cm)</t>
  </si>
  <si>
    <t>Kollektorneigungswinkel vordere Reihe (°)</t>
  </si>
  <si>
    <t>Kollektorhöhe hintere Reihe (cm)</t>
  </si>
  <si>
    <t>Kollektorneigungswinkel hintere Reihe (°)</t>
  </si>
  <si>
    <t>bei manuellen Abstand direkt</t>
  </si>
  <si>
    <t>bei manuellen Abstand n. Azimut</t>
  </si>
  <si>
    <t>optische Sicht vom Kollektorfeld von der Sonne aus &gt; manuelle Berechnungen !</t>
  </si>
  <si>
    <t>Azimut</t>
  </si>
  <si>
    <t>Version 4</t>
  </si>
  <si>
    <t>die Sonnenhöhen und Azimut müßen mit Getsolar oder einer anderen Software für den gewünschten Standort ermittelt werden !</t>
  </si>
  <si>
    <t>Versch. direkt</t>
  </si>
  <si>
    <t>Solartirol Abstandsberechnung bei zwei  Kollektorreihen (gleich breite Felder)</t>
  </si>
  <si>
    <t>Beispiel Hitzacker (DE) über Getsolar mit 50° Kollektorneigungswinkel bei Südausrichtung (Sonnenhöhe und Azimut bei Start/Ende bei Einstrahlung ~ 300W/m²)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</si>
</sst>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"/>
    <numFmt numFmtId="173" formatCode="0.00000"/>
    <numFmt numFmtId="174" formatCode="0.000"/>
    <numFmt numFmtId="175" formatCode="0.0"/>
    <numFmt numFmtId="176" formatCode="0.0000000"/>
    <numFmt numFmtId="177" formatCode="0.00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sz val="10"/>
      <color indexed="9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sz val="8"/>
      <color indexed="9"/>
      <name val="Calibri"/>
      <family val="2"/>
    </font>
    <font>
      <sz val="9"/>
      <color indexed="22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b/>
      <sz val="10"/>
      <color theme="0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sz val="8"/>
      <color theme="0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sz val="9"/>
      <color theme="0" tint="-0.04997999966144562"/>
      <name val="Calibri"/>
      <family val="2"/>
    </font>
    <font>
      <b/>
      <sz val="8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85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rgb="FF00DA6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0000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2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44" fillId="34" borderId="10" xfId="0" applyFont="1" applyFill="1" applyBorder="1" applyAlignment="1">
      <alignment horizontal="center"/>
    </xf>
    <xf numFmtId="0" fontId="44" fillId="34" borderId="11" xfId="0" applyFont="1" applyFill="1" applyBorder="1" applyAlignment="1">
      <alignment horizontal="center"/>
    </xf>
    <xf numFmtId="0" fontId="44" fillId="34" borderId="12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0" fillId="35" borderId="0" xfId="0" applyFill="1" applyAlignment="1">
      <alignment/>
    </xf>
    <xf numFmtId="175" fontId="0" fillId="35" borderId="13" xfId="0" applyNumberFormat="1" applyFill="1" applyBorder="1" applyAlignment="1">
      <alignment/>
    </xf>
    <xf numFmtId="175" fontId="0" fillId="35" borderId="13" xfId="0" applyNumberFormat="1" applyFont="1" applyFill="1" applyBorder="1" applyAlignment="1">
      <alignment horizontal="center"/>
    </xf>
    <xf numFmtId="175" fontId="0" fillId="35" borderId="0" xfId="0" applyNumberFormat="1" applyFill="1" applyAlignment="1">
      <alignment/>
    </xf>
    <xf numFmtId="175" fontId="0" fillId="35" borderId="14" xfId="0" applyNumberFormat="1" applyFill="1" applyBorder="1" applyAlignment="1">
      <alignment/>
    </xf>
    <xf numFmtId="0" fontId="0" fillId="33" borderId="10" xfId="0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 locked="0"/>
    </xf>
    <xf numFmtId="175" fontId="0" fillId="34" borderId="11" xfId="0" applyNumberFormat="1" applyFont="1" applyFill="1" applyBorder="1" applyAlignment="1">
      <alignment horizontal="center"/>
    </xf>
    <xf numFmtId="175" fontId="0" fillId="34" borderId="10" xfId="0" applyNumberFormat="1" applyFill="1" applyBorder="1" applyAlignment="1">
      <alignment horizontal="center"/>
    </xf>
    <xf numFmtId="0" fontId="0" fillId="36" borderId="0" xfId="0" applyFill="1" applyAlignment="1">
      <alignment horizontal="center"/>
    </xf>
    <xf numFmtId="2" fontId="0" fillId="35" borderId="13" xfId="0" applyNumberFormat="1" applyFill="1" applyBorder="1" applyAlignment="1">
      <alignment/>
    </xf>
    <xf numFmtId="2" fontId="0" fillId="19" borderId="11" xfId="0" applyNumberFormat="1" applyFont="1" applyFill="1" applyBorder="1" applyAlignment="1">
      <alignment horizontal="center"/>
    </xf>
    <xf numFmtId="2" fontId="33" fillId="19" borderId="12" xfId="0" applyNumberFormat="1" applyFont="1" applyFill="1" applyBorder="1" applyAlignment="1">
      <alignment horizontal="center"/>
    </xf>
    <xf numFmtId="2" fontId="0" fillId="19" borderId="15" xfId="0" applyNumberFormat="1" applyFont="1" applyFill="1" applyBorder="1" applyAlignment="1">
      <alignment horizontal="center"/>
    </xf>
    <xf numFmtId="175" fontId="0" fillId="33" borderId="16" xfId="0" applyNumberFormat="1" applyFont="1" applyFill="1" applyBorder="1" applyAlignment="1">
      <alignment horizontal="center"/>
    </xf>
    <xf numFmtId="175" fontId="0" fillId="33" borderId="11" xfId="0" applyNumberFormat="1" applyFont="1" applyFill="1" applyBorder="1" applyAlignment="1">
      <alignment horizontal="center"/>
    </xf>
    <xf numFmtId="175" fontId="0" fillId="33" borderId="15" xfId="0" applyNumberFormat="1" applyFont="1" applyFill="1" applyBorder="1" applyAlignment="1">
      <alignment horizontal="center"/>
    </xf>
    <xf numFmtId="175" fontId="33" fillId="19" borderId="11" xfId="0" applyNumberFormat="1" applyFont="1" applyFill="1" applyBorder="1" applyAlignment="1">
      <alignment horizontal="center"/>
    </xf>
    <xf numFmtId="175" fontId="0" fillId="0" borderId="17" xfId="0" applyNumberFormat="1" applyBorder="1" applyAlignment="1">
      <alignment horizontal="center"/>
    </xf>
    <xf numFmtId="175" fontId="33" fillId="37" borderId="12" xfId="0" applyNumberFormat="1" applyFont="1" applyFill="1" applyBorder="1" applyAlignment="1">
      <alignment horizontal="center"/>
    </xf>
    <xf numFmtId="0" fontId="0" fillId="36" borderId="18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 horizontal="center"/>
    </xf>
    <xf numFmtId="0" fontId="45" fillId="38" borderId="15" xfId="0" applyFont="1" applyFill="1" applyBorder="1" applyAlignment="1">
      <alignment horizontal="right"/>
    </xf>
    <xf numFmtId="0" fontId="45" fillId="38" borderId="12" xfId="0" applyFont="1" applyFill="1" applyBorder="1" applyAlignment="1">
      <alignment horizontal="right"/>
    </xf>
    <xf numFmtId="0" fontId="45" fillId="39" borderId="15" xfId="0" applyFont="1" applyFill="1" applyBorder="1" applyAlignment="1">
      <alignment horizontal="right"/>
    </xf>
    <xf numFmtId="0" fontId="45" fillId="39" borderId="12" xfId="0" applyFont="1" applyFill="1" applyBorder="1" applyAlignment="1">
      <alignment horizontal="right"/>
    </xf>
    <xf numFmtId="0" fontId="46" fillId="36" borderId="18" xfId="0" applyFont="1" applyFill="1" applyBorder="1" applyAlignment="1">
      <alignment horizontal="right"/>
    </xf>
    <xf numFmtId="0" fontId="45" fillId="40" borderId="19" xfId="0" applyFont="1" applyFill="1" applyBorder="1" applyAlignment="1">
      <alignment horizontal="right"/>
    </xf>
    <xf numFmtId="0" fontId="45" fillId="36" borderId="0" xfId="0" applyFont="1" applyFill="1" applyAlignment="1">
      <alignment/>
    </xf>
    <xf numFmtId="0" fontId="45" fillId="35" borderId="0" xfId="0" applyFont="1" applyFill="1" applyBorder="1" applyAlignment="1">
      <alignment/>
    </xf>
    <xf numFmtId="0" fontId="45" fillId="35" borderId="0" xfId="0" applyFont="1" applyFill="1" applyAlignment="1">
      <alignment/>
    </xf>
    <xf numFmtId="0" fontId="45" fillId="33" borderId="0" xfId="0" applyFont="1" applyFill="1" applyAlignment="1">
      <alignment/>
    </xf>
    <xf numFmtId="0" fontId="45" fillId="0" borderId="0" xfId="0" applyFont="1" applyAlignment="1">
      <alignment/>
    </xf>
    <xf numFmtId="0" fontId="45" fillId="36" borderId="20" xfId="0" applyFont="1" applyFill="1" applyBorder="1" applyAlignment="1">
      <alignment horizontal="center"/>
    </xf>
    <xf numFmtId="175" fontId="0" fillId="39" borderId="10" xfId="0" applyNumberFormat="1" applyFont="1" applyFill="1" applyBorder="1" applyAlignment="1">
      <alignment horizontal="center"/>
    </xf>
    <xf numFmtId="175" fontId="0" fillId="36" borderId="10" xfId="0" applyNumberFormat="1" applyFont="1" applyFill="1" applyBorder="1" applyAlignment="1">
      <alignment horizontal="center"/>
    </xf>
    <xf numFmtId="175" fontId="0" fillId="33" borderId="10" xfId="0" applyNumberFormat="1" applyFont="1" applyFill="1" applyBorder="1" applyAlignment="1">
      <alignment horizontal="center"/>
    </xf>
    <xf numFmtId="0" fontId="45" fillId="41" borderId="20" xfId="0" applyFont="1" applyFill="1" applyBorder="1" applyAlignment="1">
      <alignment horizontal="right" vertical="center" wrapText="1"/>
    </xf>
    <xf numFmtId="175" fontId="0" fillId="36" borderId="21" xfId="0" applyNumberFormat="1" applyFont="1" applyFill="1" applyBorder="1" applyAlignment="1">
      <alignment horizontal="center"/>
    </xf>
    <xf numFmtId="0" fontId="47" fillId="36" borderId="20" xfId="0" applyFont="1" applyFill="1" applyBorder="1" applyAlignment="1">
      <alignment/>
    </xf>
    <xf numFmtId="0" fontId="45" fillId="34" borderId="15" xfId="0" applyFont="1" applyFill="1" applyBorder="1" applyAlignment="1">
      <alignment horizontal="right"/>
    </xf>
    <xf numFmtId="0" fontId="45" fillId="34" borderId="16" xfId="0" applyFont="1" applyFill="1" applyBorder="1" applyAlignment="1">
      <alignment horizontal="right"/>
    </xf>
    <xf numFmtId="0" fontId="45" fillId="34" borderId="12" xfId="0" applyFont="1" applyFill="1" applyBorder="1" applyAlignment="1">
      <alignment horizontal="right"/>
    </xf>
    <xf numFmtId="0" fontId="45" fillId="0" borderId="15" xfId="0" applyFont="1" applyBorder="1" applyAlignment="1" applyProtection="1">
      <alignment horizontal="center"/>
      <protection locked="0"/>
    </xf>
    <xf numFmtId="0" fontId="45" fillId="0" borderId="12" xfId="0" applyFont="1" applyBorder="1" applyAlignment="1" applyProtection="1">
      <alignment horizontal="center"/>
      <protection locked="0"/>
    </xf>
    <xf numFmtId="0" fontId="45" fillId="0" borderId="16" xfId="0" applyFont="1" applyBorder="1" applyAlignment="1" applyProtection="1">
      <alignment horizontal="center"/>
      <protection locked="0"/>
    </xf>
    <xf numFmtId="0" fontId="48" fillId="33" borderId="20" xfId="0" applyFont="1" applyFill="1" applyBorder="1" applyAlignment="1" applyProtection="1">
      <alignment horizontal="center"/>
      <protection locked="0"/>
    </xf>
    <xf numFmtId="0" fontId="48" fillId="40" borderId="22" xfId="0" applyFont="1" applyFill="1" applyBorder="1" applyAlignment="1">
      <alignment horizontal="right"/>
    </xf>
    <xf numFmtId="175" fontId="48" fillId="42" borderId="15" xfId="0" applyNumberFormat="1" applyFont="1" applyFill="1" applyBorder="1" applyAlignment="1">
      <alignment horizontal="center"/>
    </xf>
    <xf numFmtId="175" fontId="48" fillId="42" borderId="11" xfId="0" applyNumberFormat="1" applyFont="1" applyFill="1" applyBorder="1" applyAlignment="1">
      <alignment horizontal="center"/>
    </xf>
    <xf numFmtId="1" fontId="48" fillId="42" borderId="11" xfId="0" applyNumberFormat="1" applyFont="1" applyFill="1" applyBorder="1" applyAlignment="1">
      <alignment horizontal="center"/>
    </xf>
    <xf numFmtId="0" fontId="48" fillId="42" borderId="11" xfId="0" applyFont="1" applyFill="1" applyBorder="1" applyAlignment="1">
      <alignment horizontal="center"/>
    </xf>
    <xf numFmtId="0" fontId="48" fillId="40" borderId="23" xfId="0" applyFont="1" applyFill="1" applyBorder="1" applyAlignment="1">
      <alignment horizontal="right"/>
    </xf>
    <xf numFmtId="0" fontId="48" fillId="42" borderId="12" xfId="0" applyFont="1" applyFill="1" applyBorder="1" applyAlignment="1">
      <alignment horizontal="center"/>
    </xf>
    <xf numFmtId="0" fontId="48" fillId="40" borderId="24" xfId="0" applyFont="1" applyFill="1" applyBorder="1" applyAlignment="1">
      <alignment horizontal="right"/>
    </xf>
    <xf numFmtId="0" fontId="49" fillId="43" borderId="20" xfId="0" applyFont="1" applyFill="1" applyBorder="1" applyAlignment="1">
      <alignment horizontal="center"/>
    </xf>
    <xf numFmtId="0" fontId="46" fillId="43" borderId="20" xfId="0" applyFont="1" applyFill="1" applyBorder="1" applyAlignment="1">
      <alignment horizontal="center"/>
    </xf>
    <xf numFmtId="0" fontId="50" fillId="43" borderId="20" xfId="0" applyFont="1" applyFill="1" applyBorder="1" applyAlignment="1">
      <alignment horizontal="center"/>
    </xf>
    <xf numFmtId="175" fontId="48" fillId="44" borderId="20" xfId="0" applyNumberFormat="1" applyFont="1" applyFill="1" applyBorder="1" applyAlignment="1">
      <alignment horizontal="center" vertical="center"/>
    </xf>
    <xf numFmtId="1" fontId="48" fillId="40" borderId="20" xfId="0" applyNumberFormat="1" applyFont="1" applyFill="1" applyBorder="1" applyAlignment="1">
      <alignment horizontal="center"/>
    </xf>
    <xf numFmtId="175" fontId="48" fillId="40" borderId="20" xfId="0" applyNumberFormat="1" applyFont="1" applyFill="1" applyBorder="1" applyAlignment="1">
      <alignment horizontal="center"/>
    </xf>
    <xf numFmtId="0" fontId="48" fillId="37" borderId="19" xfId="0" applyFont="1" applyFill="1" applyBorder="1" applyAlignment="1">
      <alignment horizontal="center"/>
    </xf>
    <xf numFmtId="0" fontId="48" fillId="37" borderId="25" xfId="0" applyFont="1" applyFill="1" applyBorder="1" applyAlignment="1">
      <alignment horizontal="center"/>
    </xf>
    <xf numFmtId="0" fontId="48" fillId="37" borderId="26" xfId="0" applyFont="1" applyFill="1" applyBorder="1" applyAlignment="1">
      <alignment horizontal="center"/>
    </xf>
    <xf numFmtId="0" fontId="47" fillId="36" borderId="25" xfId="0" applyFont="1" applyFill="1" applyBorder="1" applyAlignment="1">
      <alignment horizontal="center"/>
    </xf>
    <xf numFmtId="0" fontId="47" fillId="36" borderId="26" xfId="0" applyFont="1" applyFill="1" applyBorder="1" applyAlignment="1">
      <alignment horizontal="center"/>
    </xf>
    <xf numFmtId="0" fontId="47" fillId="36" borderId="19" xfId="0" applyFont="1" applyFill="1" applyBorder="1" applyAlignment="1">
      <alignment horizontal="center"/>
    </xf>
    <xf numFmtId="0" fontId="51" fillId="45" borderId="19" xfId="0" applyFont="1" applyFill="1" applyBorder="1" applyAlignment="1">
      <alignment horizontal="center"/>
    </xf>
    <xf numFmtId="0" fontId="51" fillId="45" borderId="25" xfId="0" applyFont="1" applyFill="1" applyBorder="1" applyAlignment="1">
      <alignment horizontal="center"/>
    </xf>
    <xf numFmtId="0" fontId="51" fillId="45" borderId="26" xfId="0" applyFont="1" applyFill="1" applyBorder="1" applyAlignment="1">
      <alignment horizontal="center"/>
    </xf>
    <xf numFmtId="0" fontId="33" fillId="33" borderId="19" xfId="0" applyFont="1" applyFill="1" applyBorder="1" applyAlignment="1">
      <alignment horizontal="center"/>
    </xf>
    <xf numFmtId="0" fontId="33" fillId="33" borderId="25" xfId="0" applyFont="1" applyFill="1" applyBorder="1" applyAlignment="1">
      <alignment horizontal="center"/>
    </xf>
    <xf numFmtId="0" fontId="33" fillId="33" borderId="26" xfId="0" applyFont="1" applyFill="1" applyBorder="1" applyAlignment="1">
      <alignment horizontal="center"/>
    </xf>
    <xf numFmtId="0" fontId="48" fillId="45" borderId="23" xfId="0" applyFont="1" applyFill="1" applyBorder="1" applyAlignment="1">
      <alignment horizontal="center"/>
    </xf>
    <xf numFmtId="0" fontId="48" fillId="45" borderId="27" xfId="0" applyFont="1" applyFill="1" applyBorder="1" applyAlignment="1">
      <alignment horizontal="center"/>
    </xf>
    <xf numFmtId="0" fontId="48" fillId="45" borderId="28" xfId="0" applyFont="1" applyFill="1" applyBorder="1" applyAlignment="1">
      <alignment horizontal="center"/>
    </xf>
    <xf numFmtId="0" fontId="44" fillId="36" borderId="19" xfId="0" applyFont="1" applyFill="1" applyBorder="1" applyAlignment="1">
      <alignment horizontal="center"/>
    </xf>
    <xf numFmtId="0" fontId="44" fillId="36" borderId="26" xfId="0" applyFont="1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0" fillId="36" borderId="21" xfId="0" applyFill="1" applyBorder="1" applyAlignment="1">
      <alignment horizontal="center"/>
    </xf>
    <xf numFmtId="0" fontId="0" fillId="36" borderId="29" xfId="0" applyFill="1" applyBorder="1" applyAlignment="1">
      <alignment horizontal="center"/>
    </xf>
    <xf numFmtId="0" fontId="44" fillId="36" borderId="30" xfId="0" applyFont="1" applyFill="1" applyBorder="1" applyAlignment="1">
      <alignment horizontal="center"/>
    </xf>
    <xf numFmtId="0" fontId="44" fillId="36" borderId="31" xfId="0" applyFont="1" applyFill="1" applyBorder="1" applyAlignment="1">
      <alignment horizontal="center"/>
    </xf>
    <xf numFmtId="0" fontId="49" fillId="36" borderId="32" xfId="0" applyFont="1" applyFill="1" applyBorder="1" applyAlignment="1">
      <alignment horizontal="center"/>
    </xf>
    <xf numFmtId="0" fontId="49" fillId="36" borderId="17" xfId="0" applyFont="1" applyFill="1" applyBorder="1" applyAlignment="1">
      <alignment horizontal="center"/>
    </xf>
    <xf numFmtId="0" fontId="48" fillId="45" borderId="24" xfId="0" applyFont="1" applyFill="1" applyBorder="1" applyAlignment="1">
      <alignment horizontal="center"/>
    </xf>
    <xf numFmtId="0" fontId="48" fillId="45" borderId="33" xfId="0" applyFont="1" applyFill="1" applyBorder="1" applyAlignment="1">
      <alignment horizontal="center"/>
    </xf>
    <xf numFmtId="0" fontId="48" fillId="45" borderId="34" xfId="0" applyFont="1" applyFill="1" applyBorder="1" applyAlignment="1">
      <alignment horizontal="center"/>
    </xf>
    <xf numFmtId="0" fontId="48" fillId="45" borderId="22" xfId="0" applyFont="1" applyFill="1" applyBorder="1" applyAlignment="1">
      <alignment horizontal="center"/>
    </xf>
    <xf numFmtId="0" fontId="48" fillId="45" borderId="35" xfId="0" applyFont="1" applyFill="1" applyBorder="1" applyAlignment="1">
      <alignment horizontal="center"/>
    </xf>
    <xf numFmtId="0" fontId="48" fillId="45" borderId="36" xfId="0" applyFont="1" applyFill="1" applyBorder="1" applyAlignment="1">
      <alignment horizontal="center"/>
    </xf>
    <xf numFmtId="0" fontId="44" fillId="36" borderId="25" xfId="0" applyFont="1" applyFill="1" applyBorder="1" applyAlignment="1">
      <alignment horizontal="center"/>
    </xf>
    <xf numFmtId="0" fontId="52" fillId="45" borderId="30" xfId="0" applyFont="1" applyFill="1" applyBorder="1" applyAlignment="1">
      <alignment horizontal="center" vertical="center"/>
    </xf>
    <xf numFmtId="0" fontId="52" fillId="45" borderId="37" xfId="0" applyFont="1" applyFill="1" applyBorder="1" applyAlignment="1">
      <alignment horizontal="center" vertical="center"/>
    </xf>
    <xf numFmtId="0" fontId="52" fillId="45" borderId="31" xfId="0" applyFont="1" applyFill="1" applyBorder="1" applyAlignment="1">
      <alignment horizontal="center" vertical="center"/>
    </xf>
    <xf numFmtId="0" fontId="52" fillId="45" borderId="38" xfId="0" applyFont="1" applyFill="1" applyBorder="1" applyAlignment="1">
      <alignment horizontal="center" vertical="center"/>
    </xf>
    <xf numFmtId="0" fontId="52" fillId="45" borderId="39" xfId="0" applyFont="1" applyFill="1" applyBorder="1" applyAlignment="1">
      <alignment horizontal="center" vertical="center"/>
    </xf>
    <xf numFmtId="0" fontId="52" fillId="45" borderId="40" xfId="0" applyFont="1" applyFill="1" applyBorder="1" applyAlignment="1">
      <alignment horizontal="center" vertical="center"/>
    </xf>
    <xf numFmtId="0" fontId="53" fillId="36" borderId="24" xfId="0" applyFont="1" applyFill="1" applyBorder="1" applyAlignment="1">
      <alignment horizontal="right"/>
    </xf>
    <xf numFmtId="0" fontId="53" fillId="36" borderId="33" xfId="0" applyFont="1" applyFill="1" applyBorder="1" applyAlignment="1">
      <alignment horizontal="right"/>
    </xf>
    <xf numFmtId="0" fontId="53" fillId="36" borderId="34" xfId="0" applyFont="1" applyFill="1" applyBorder="1" applyAlignment="1">
      <alignment horizontal="right"/>
    </xf>
    <xf numFmtId="0" fontId="53" fillId="36" borderId="22" xfId="0" applyFont="1" applyFill="1" applyBorder="1" applyAlignment="1">
      <alignment horizontal="right"/>
    </xf>
    <xf numFmtId="0" fontId="53" fillId="36" borderId="35" xfId="0" applyFont="1" applyFill="1" applyBorder="1" applyAlignment="1">
      <alignment horizontal="right"/>
    </xf>
    <xf numFmtId="0" fontId="53" fillId="36" borderId="36" xfId="0" applyFont="1" applyFill="1" applyBorder="1" applyAlignment="1">
      <alignment horizontal="right"/>
    </xf>
    <xf numFmtId="0" fontId="33" fillId="46" borderId="19" xfId="0" applyFont="1" applyFill="1" applyBorder="1" applyAlignment="1">
      <alignment horizontal="center"/>
    </xf>
    <xf numFmtId="0" fontId="33" fillId="46" borderId="25" xfId="0" applyFont="1" applyFill="1" applyBorder="1" applyAlignment="1">
      <alignment horizontal="center"/>
    </xf>
    <xf numFmtId="0" fontId="33" fillId="46" borderId="26" xfId="0" applyFont="1" applyFill="1" applyBorder="1" applyAlignment="1">
      <alignment horizontal="center"/>
    </xf>
    <xf numFmtId="0" fontId="53" fillId="36" borderId="23" xfId="0" applyFont="1" applyFill="1" applyBorder="1" applyAlignment="1">
      <alignment horizontal="right"/>
    </xf>
    <xf numFmtId="0" fontId="53" fillId="36" borderId="27" xfId="0" applyFont="1" applyFill="1" applyBorder="1" applyAlignment="1">
      <alignment horizontal="right"/>
    </xf>
    <xf numFmtId="0" fontId="53" fillId="36" borderId="28" xfId="0" applyFont="1" applyFill="1" applyBorder="1" applyAlignment="1">
      <alignment horizontal="righ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BO49"/>
  <sheetViews>
    <sheetView tabSelected="1" zoomScalePageLayoutView="0" workbookViewId="0" topLeftCell="A1">
      <selection activeCell="B13" sqref="B13"/>
    </sheetView>
  </sheetViews>
  <sheetFormatPr defaultColWidth="11.421875" defaultRowHeight="15"/>
  <cols>
    <col min="1" max="1" width="36.7109375" style="42" customWidth="1"/>
    <col min="2" max="2" width="6.140625" style="1" customWidth="1"/>
    <col min="3" max="3" width="0.9921875" style="0" customWidth="1"/>
    <col min="4" max="4" width="5.421875" style="1" customWidth="1"/>
    <col min="5" max="5" width="14.28125" style="1" customWidth="1"/>
    <col min="6" max="6" width="11.140625" style="1" customWidth="1"/>
    <col min="7" max="7" width="7.140625" style="1" customWidth="1"/>
    <col min="8" max="8" width="7.421875" style="1" customWidth="1"/>
    <col min="9" max="9" width="8.28125" style="1" customWidth="1"/>
    <col min="10" max="10" width="0.9921875" style="1" customWidth="1"/>
    <col min="11" max="11" width="15.140625" style="1" customWidth="1"/>
    <col min="12" max="12" width="6.140625" style="1" customWidth="1"/>
    <col min="13" max="13" width="11.7109375" style="1" customWidth="1"/>
    <col min="14" max="14" width="6.421875" style="1" customWidth="1"/>
    <col min="15" max="15" width="6.8515625" style="1" customWidth="1"/>
    <col min="16" max="16" width="8.140625" style="1" customWidth="1"/>
    <col min="17" max="17" width="11.57421875" style="0" customWidth="1"/>
    <col min="18" max="19" width="11.57421875" style="0" hidden="1" customWidth="1"/>
    <col min="20" max="22" width="0" style="0" hidden="1" customWidth="1"/>
    <col min="23" max="31" width="11.57421875" style="0" hidden="1" customWidth="1"/>
    <col min="32" max="32" width="3.140625" style="0" hidden="1" customWidth="1"/>
    <col min="33" max="42" width="11.57421875" style="0" hidden="1" customWidth="1"/>
    <col min="43" max="44" width="0" style="0" hidden="1" customWidth="1"/>
  </cols>
  <sheetData>
    <row r="1" spans="1:67" ht="17.25" customHeight="1" thickBot="1">
      <c r="A1" s="77" t="s">
        <v>54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9"/>
      <c r="M1" s="80" t="s">
        <v>51</v>
      </c>
      <c r="N1" s="81"/>
      <c r="O1" s="81"/>
      <c r="P1" s="82"/>
      <c r="Q1" s="7"/>
      <c r="R1" s="8"/>
      <c r="S1" s="8"/>
      <c r="T1" s="8"/>
      <c r="U1" s="8"/>
      <c r="V1" s="8"/>
      <c r="W1" s="9">
        <f>(SIN(RADIANS($B$4-$B$9))*$B$3)/(SIN(RADIANS($B$9+$B$10)))</f>
        <v>214.7743001385408</v>
      </c>
      <c r="X1" s="9">
        <f>180-($B$4-$B$9)-($B$9+$B$10)</f>
        <v>90</v>
      </c>
      <c r="Y1" s="10">
        <f>SQRT((W1^2+$B$3^2)-(2*W1*$B$3*(COS(RADIANS(X1)))))</f>
        <v>248.00000000000003</v>
      </c>
      <c r="Z1" s="11"/>
      <c r="AA1" s="11"/>
      <c r="AB1" s="11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</row>
    <row r="2" spans="1:67" ht="15.75" thickBot="1">
      <c r="A2" s="91" t="s">
        <v>35</v>
      </c>
      <c r="B2" s="92"/>
      <c r="C2" s="88"/>
      <c r="D2" s="76" t="s">
        <v>47</v>
      </c>
      <c r="E2" s="74"/>
      <c r="F2" s="74"/>
      <c r="G2" s="74"/>
      <c r="H2" s="74"/>
      <c r="I2" s="75"/>
      <c r="J2" s="49"/>
      <c r="K2" s="74" t="s">
        <v>48</v>
      </c>
      <c r="L2" s="74"/>
      <c r="M2" s="74"/>
      <c r="N2" s="74"/>
      <c r="O2" s="74"/>
      <c r="P2" s="75"/>
      <c r="Q2" s="8"/>
      <c r="R2" s="8"/>
      <c r="S2" s="8"/>
      <c r="T2" s="8"/>
      <c r="U2" s="8"/>
      <c r="V2" s="8"/>
      <c r="W2" s="9">
        <f>Y1-$B$13</f>
        <v>-1.9999999999999716</v>
      </c>
      <c r="X2" s="9">
        <f>180-($B$7-$B$9)-($B$9+$B$10)</f>
        <v>90</v>
      </c>
      <c r="Y2" s="9">
        <f>(SIN(RADIANS($B$7-$B$9))*W2)/(SIN(RADIANS(X2)))</f>
        <v>-1.7320508075688525</v>
      </c>
      <c r="Z2" s="9">
        <f>SQRT((W2^2+Y2^2)-(2*W2*Y2*(COS(RADIANS($B$9+$B$10)))))</f>
        <v>0.9999999999999858</v>
      </c>
      <c r="AA2" s="9">
        <f>$B$6-Z2</f>
        <v>199</v>
      </c>
      <c r="AB2" s="9">
        <f>100-(AA2/($B$6/100))</f>
        <v>0.5</v>
      </c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</row>
    <row r="3" spans="1:67" ht="15.75" thickBot="1">
      <c r="A3" s="32" t="s">
        <v>43</v>
      </c>
      <c r="B3" s="53">
        <v>124</v>
      </c>
      <c r="C3" s="89"/>
      <c r="D3" s="65" t="s">
        <v>3</v>
      </c>
      <c r="E3" s="66" t="s">
        <v>34</v>
      </c>
      <c r="F3" s="66" t="s">
        <v>53</v>
      </c>
      <c r="G3" s="66" t="s">
        <v>39</v>
      </c>
      <c r="H3" s="66" t="s">
        <v>40</v>
      </c>
      <c r="I3" s="66" t="s">
        <v>41</v>
      </c>
      <c r="J3" s="43"/>
      <c r="K3" s="67" t="s">
        <v>19</v>
      </c>
      <c r="L3" s="67" t="s">
        <v>50</v>
      </c>
      <c r="M3" s="67" t="s">
        <v>42</v>
      </c>
      <c r="N3" s="67" t="s">
        <v>39</v>
      </c>
      <c r="O3" s="67" t="s">
        <v>40</v>
      </c>
      <c r="P3" s="66" t="s">
        <v>41</v>
      </c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</row>
    <row r="4" spans="1:67" ht="15.75" thickBot="1">
      <c r="A4" s="33" t="s">
        <v>44</v>
      </c>
      <c r="B4" s="54">
        <v>60</v>
      </c>
      <c r="C4" s="89"/>
      <c r="D4" s="4" t="s">
        <v>14</v>
      </c>
      <c r="E4" s="13">
        <v>16</v>
      </c>
      <c r="F4" s="16">
        <f aca="true" t="shared" si="0" ref="F4:F15">IF(AND($B$13&lt;Y4,E4&gt;0),AE4,0)</f>
        <v>26.49054804212915</v>
      </c>
      <c r="G4" s="44">
        <f>($B$11*SIN(RADIANS(90-0))*$B$3)*(SIN(RADIANS(90-(90-$B$4-E4))))/10000</f>
        <v>12.51293368605525</v>
      </c>
      <c r="H4" s="44">
        <f>G4-(($B$11*SIN(RADIANS(90-0))*$B$6)*(SIN(RADIANS(90-(90-$B$7-E4))))/10000)/100*F4</f>
        <v>7.166571251241979</v>
      </c>
      <c r="I4" s="46">
        <f>(G4+H4)/($B$24/100)</f>
        <v>58.403089201380666</v>
      </c>
      <c r="J4" s="45"/>
      <c r="K4" s="13">
        <v>11</v>
      </c>
      <c r="L4" s="13">
        <v>30</v>
      </c>
      <c r="M4" s="17">
        <f>IF(AND($B$13&lt;AI4,K4&gt;0),AR4,0)</f>
        <v>31.670759297431356</v>
      </c>
      <c r="N4" s="44">
        <f>($B$11*SIN(RADIANS(90-L4))*$B$3)*(SIN(RADIANS(90-(90-$B$4-K4))))/10000</f>
        <v>10.559800697801327</v>
      </c>
      <c r="O4" s="44">
        <f>N4-(($B$11*SIN(RADIANS(90-L4))*$B$6)*(SIN(RADIANS(90-(90-$B$7-K4))))/10000)/100*M4</f>
        <v>5.165657050560786</v>
      </c>
      <c r="P4" s="46">
        <f>(N4+O4)/($B$24/100)</f>
        <v>46.66861867391416</v>
      </c>
      <c r="Q4" s="8"/>
      <c r="R4" s="8"/>
      <c r="S4" s="8"/>
      <c r="T4" s="8"/>
      <c r="U4" s="8"/>
      <c r="V4" s="8"/>
      <c r="W4" s="9">
        <f>(SIN(RADIANS($B$4-$B$9))*$B$3)/(SIN(RADIANS($B$9+E4)))</f>
        <v>389.5957779415311</v>
      </c>
      <c r="X4" s="9">
        <f>180-($B$4-$B$9)-($B$9+E4)</f>
        <v>104</v>
      </c>
      <c r="Y4" s="10">
        <f>SQRT((W4^2+$B$3^2)-(2*W4*$B$3*(COS(RADIANS(X4)))))</f>
        <v>436.5034982344849</v>
      </c>
      <c r="Z4" s="9">
        <f aca="true" t="shared" si="1" ref="Z4:Z15">Y4-$B$13</f>
        <v>186.50349823448488</v>
      </c>
      <c r="AA4" s="9">
        <f>180-($B$7-$B$9)-($B$9+E4)</f>
        <v>104</v>
      </c>
      <c r="AB4" s="9">
        <f>(SIN(RADIANS($B$7-$B$9))*Z4)/(SIN(RADIANS(AA4)))</f>
        <v>166.46138181565826</v>
      </c>
      <c r="AC4" s="9">
        <f aca="true" t="shared" si="2" ref="AC4:AC15">SQRT((Z4^2+AB4^2)-(2*Z4*AB4*(COS(RADIANS($B$9+E4)))))</f>
        <v>52.98109608425829</v>
      </c>
      <c r="AD4" s="9">
        <f>$B$6-AC4</f>
        <v>147.0189039157417</v>
      </c>
      <c r="AE4" s="9">
        <f>100-(AD4/($B$6/100))</f>
        <v>26.49054804212915</v>
      </c>
      <c r="AF4" s="8"/>
      <c r="AG4" s="9">
        <f>(SIN(RADIANS($B$4-$B$9))*$B$3)/(SIN(RADIANS($B$9+K4)))</f>
        <v>562.7992006212877</v>
      </c>
      <c r="AH4" s="9">
        <f>180-($B$4-$B$9)-($B$9+K4)</f>
        <v>109</v>
      </c>
      <c r="AI4" s="10">
        <f>SQRT((AG4^2+$B$3^2)-(2*AG4*$B$3*(COS(RADIANS(AH4)))))</f>
        <v>614.4589941524714</v>
      </c>
      <c r="AJ4" s="9">
        <f aca="true" t="shared" si="3" ref="AJ4:AJ15">AI4-$B$13</f>
        <v>364.4589941524714</v>
      </c>
      <c r="AK4" s="9">
        <f>180-($B$7-$B$9)-($B$9+K4)</f>
        <v>109</v>
      </c>
      <c r="AL4" s="9">
        <f>(SIN(RADIANS($B$7-$B$9))*AJ4)/(SIN(RADIANS(AK4)))</f>
        <v>333.81760625242276</v>
      </c>
      <c r="AM4" s="9">
        <f aca="true" t="shared" si="4" ref="AM4:AM15">SQRT((AJ4^2+AL4^2)-(2*AJ4*AL4*(COS(RADIANS($B$9+K4)))))</f>
        <v>73.54911508332872</v>
      </c>
      <c r="AN4" s="9">
        <f>$B$6-AM4</f>
        <v>126.45088491667128</v>
      </c>
      <c r="AO4" s="9">
        <f>IF((SIN(RADIANS(L4))*$B$25)/(SIN(RADIANS(180-90-L4)))&lt;$B$11,$B$11-(SIN(RADIANS(L4))*$B$25)/(SIN(RADIANS(180-90-L4))),0)</f>
        <v>895.6624327025936</v>
      </c>
      <c r="AP4" s="19">
        <f>($B$11-AO4)*$B$6/10000</f>
        <v>2.8867513459481278</v>
      </c>
      <c r="AQ4" s="19">
        <f>(AM4*AO4/10000)</f>
        <v>6.587517933865723</v>
      </c>
      <c r="AR4" s="12">
        <f>(AQ4/($B$23/100))</f>
        <v>31.670759297431356</v>
      </c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</row>
    <row r="5" spans="1:67" ht="15.75" thickBot="1">
      <c r="A5" s="93" t="s">
        <v>36</v>
      </c>
      <c r="B5" s="94"/>
      <c r="C5" s="89"/>
      <c r="D5" s="5" t="s">
        <v>15</v>
      </c>
      <c r="E5" s="14">
        <v>25</v>
      </c>
      <c r="F5" s="16">
        <f t="shared" si="0"/>
        <v>8.970925644574905</v>
      </c>
      <c r="G5" s="44">
        <f aca="true" t="shared" si="5" ref="G5:G15">($B$11*SIN(RADIANS(90-0))*$B$3)*(SIN(RADIANS(90-(90-$B$4-E5))))/10000</f>
        <v>12.846926826591151</v>
      </c>
      <c r="H5" s="44">
        <f aca="true" t="shared" si="6" ref="H5:H15">G5-(($B$11*SIN(RADIANS(90-0))*$B$6)*(SIN(RADIANS(90-(90-$B$7-E5))))/10000)/100*F5</f>
        <v>10.988074805258185</v>
      </c>
      <c r="I5" s="46">
        <f aca="true" t="shared" si="7" ref="I5:I15">(G5+H5)/($B$24/100)</f>
        <v>70.73540370325658</v>
      </c>
      <c r="J5" s="45"/>
      <c r="K5" s="14">
        <v>15</v>
      </c>
      <c r="L5" s="13">
        <v>40</v>
      </c>
      <c r="M5" s="17">
        <f aca="true" t="shared" si="8" ref="M5:M15">IF(AND($B$13&lt;AI5,K5&gt;0),AR5,0)</f>
        <v>22.756430617962774</v>
      </c>
      <c r="N5" s="44">
        <f aca="true" t="shared" si="9" ref="N5:N15">($B$11*SIN(RADIANS(90-L5))*$B$3)*(SIN(RADIANS(90-(90-$B$4-K5))))/10000</f>
        <v>9.542293472403864</v>
      </c>
      <c r="O5" s="44">
        <f aca="true" t="shared" si="10" ref="O5:O15">N5-(($B$11*SIN(RADIANS(90-L5))*$B$6)*(SIN(RADIANS(90-(90-$B$7-K5))))/10000)/100*M5</f>
        <v>6.039897676581322</v>
      </c>
      <c r="P5" s="46">
        <f aca="true" t="shared" si="11" ref="P5:P15">(N5+O5)/($B$24/100)</f>
        <v>46.243444767881016</v>
      </c>
      <c r="Q5" s="8"/>
      <c r="R5" s="8"/>
      <c r="S5" s="8"/>
      <c r="T5" s="8"/>
      <c r="U5" s="8"/>
      <c r="V5" s="8"/>
      <c r="W5" s="9">
        <f aca="true" t="shared" si="12" ref="W5:W14">(SIN(RADIANS($B$4-$B$9))*$B$3)/(SIN(RADIANS($B$9+E5)))</f>
        <v>254.09964450414253</v>
      </c>
      <c r="X5" s="9">
        <f aca="true" t="shared" si="13" ref="X5:X14">180-($B$4-$B$9)-($B$9+E5)</f>
        <v>95</v>
      </c>
      <c r="Y5" s="10">
        <f aca="true" t="shared" si="14" ref="Y5:Y14">SQRT((W5^2+$B$3^2)-(2*W5*$B$3*(COS(RADIANS(X5)))))</f>
        <v>292.2924864973489</v>
      </c>
      <c r="Z5" s="9">
        <f t="shared" si="1"/>
        <v>42.292486497348875</v>
      </c>
      <c r="AA5" s="9">
        <f aca="true" t="shared" si="15" ref="AA5:AA14">180-($B$7-$B$9)-($B$9+E5)</f>
        <v>95</v>
      </c>
      <c r="AB5" s="9">
        <f aca="true" t="shared" si="16" ref="AB5:AB14">(SIN(RADIANS($B$7-$B$9))*Z5)/(SIN(RADIANS(AA5)))</f>
        <v>36.76627447031577</v>
      </c>
      <c r="AC5" s="9">
        <f t="shared" si="2"/>
        <v>17.941851289149813</v>
      </c>
      <c r="AD5" s="9">
        <f aca="true" t="shared" si="17" ref="AD5:AD15">$B$6-AC5</f>
        <v>182.0581487108502</v>
      </c>
      <c r="AE5" s="9">
        <f aca="true" t="shared" si="18" ref="AE5:AE15">100-(AD5/($B$6/100))</f>
        <v>8.970925644574905</v>
      </c>
      <c r="AF5" s="8"/>
      <c r="AG5" s="9">
        <f aca="true" t="shared" si="19" ref="AG5:AG14">(SIN(RADIANS($B$4-$B$9))*$B$3)/(SIN(RADIANS($B$9+K5)))</f>
        <v>414.91208665395277</v>
      </c>
      <c r="AH5" s="9">
        <f aca="true" t="shared" si="20" ref="AH5:AH14">180-($B$4-$B$9)-($B$9+K5)</f>
        <v>105</v>
      </c>
      <c r="AI5" s="10">
        <f aca="true" t="shared" si="21" ref="AI5:AI14">SQRT((AG5^2+$B$3^2)-(2*AG5*$B$3*(COS(RADIANS(AH5)))))</f>
        <v>462.7743001385408</v>
      </c>
      <c r="AJ5" s="9">
        <f t="shared" si="3"/>
        <v>212.7743001385408</v>
      </c>
      <c r="AK5" s="9">
        <f aca="true" t="shared" si="22" ref="AK5:AK14">180-($B$7-$B$9)-($B$9+K5)</f>
        <v>105</v>
      </c>
      <c r="AL5" s="9">
        <f aca="true" t="shared" si="23" ref="AL5:AL14">(SIN(RADIANS($B$7-$B$9))*AJ5)/(SIN(RADIANS(AK5)))</f>
        <v>190.76821861193935</v>
      </c>
      <c r="AM5" s="9">
        <f t="shared" si="4"/>
        <v>57.01270189221913</v>
      </c>
      <c r="AN5" s="9">
        <f aca="true" t="shared" si="24" ref="AN5:AN15">$B$6-AM5</f>
        <v>142.98729810778087</v>
      </c>
      <c r="AO5" s="9">
        <f aca="true" t="shared" si="25" ref="AO5:AO15">IF((SIN(RADIANS(L5))*$B$25)/(SIN(RADIANS(180-90-L5)))&lt;$B$11,$B$11-(SIN(RADIANS(L5))*$B$25)/(SIN(RADIANS(180-90-L5))),0)</f>
        <v>830.2250922056801</v>
      </c>
      <c r="AP5" s="19">
        <f aca="true" t="shared" si="26" ref="AP5:AP15">($B$11-AO5)*$B$6/10000</f>
        <v>4.195498155886399</v>
      </c>
      <c r="AQ5" s="19">
        <f aca="true" t="shared" si="27" ref="AQ5:AQ15">(AM5*AO5/10000)</f>
        <v>4.733337568536258</v>
      </c>
      <c r="AR5" s="12">
        <f aca="true" t="shared" si="28" ref="AR5:AR15">(AQ5/($B$23/100))</f>
        <v>22.756430617962774</v>
      </c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</row>
    <row r="6" spans="1:67" ht="15">
      <c r="A6" s="34" t="s">
        <v>45</v>
      </c>
      <c r="B6" s="53">
        <v>200</v>
      </c>
      <c r="C6" s="89"/>
      <c r="D6" s="5" t="s">
        <v>4</v>
      </c>
      <c r="E6" s="14">
        <v>35</v>
      </c>
      <c r="F6" s="16">
        <f t="shared" si="0"/>
        <v>0</v>
      </c>
      <c r="G6" s="44">
        <f t="shared" si="5"/>
        <v>12.846926826591151</v>
      </c>
      <c r="H6" s="44">
        <f t="shared" si="6"/>
        <v>12.846926826591151</v>
      </c>
      <c r="I6" s="46">
        <f t="shared" si="7"/>
        <v>76.25193985393608</v>
      </c>
      <c r="J6" s="45"/>
      <c r="K6" s="14">
        <v>22</v>
      </c>
      <c r="L6" s="13">
        <v>50</v>
      </c>
      <c r="M6" s="17">
        <f t="shared" si="8"/>
        <v>10.498738659741885</v>
      </c>
      <c r="N6" s="44">
        <f t="shared" si="9"/>
        <v>8.208717250453942</v>
      </c>
      <c r="O6" s="44">
        <f t="shared" si="10"/>
        <v>6.818698264256669</v>
      </c>
      <c r="P6" s="46">
        <f t="shared" si="11"/>
        <v>44.597030848500154</v>
      </c>
      <c r="Q6" s="8"/>
      <c r="R6" s="8"/>
      <c r="S6" s="8"/>
      <c r="T6" s="8"/>
      <c r="U6" s="8"/>
      <c r="V6" s="8"/>
      <c r="W6" s="9">
        <f t="shared" si="12"/>
        <v>187.22378267915144</v>
      </c>
      <c r="X6" s="9">
        <f t="shared" si="13"/>
        <v>85</v>
      </c>
      <c r="Y6" s="10">
        <f t="shared" si="14"/>
        <v>215.36474432114483</v>
      </c>
      <c r="Z6" s="9">
        <f t="shared" si="1"/>
        <v>-34.635255678855174</v>
      </c>
      <c r="AA6" s="9">
        <f t="shared" si="15"/>
        <v>85</v>
      </c>
      <c r="AB6" s="9">
        <f t="shared" si="16"/>
        <v>-30.10958735467532</v>
      </c>
      <c r="AC6" s="9">
        <f t="shared" si="2"/>
        <v>19.941851289149813</v>
      </c>
      <c r="AD6" s="9">
        <f t="shared" si="17"/>
        <v>180.0581487108502</v>
      </c>
      <c r="AE6" s="9">
        <f t="shared" si="18"/>
        <v>9.970925644574905</v>
      </c>
      <c r="AF6" s="8"/>
      <c r="AG6" s="9">
        <f t="shared" si="19"/>
        <v>286.66647079017736</v>
      </c>
      <c r="AH6" s="9">
        <f t="shared" si="20"/>
        <v>98</v>
      </c>
      <c r="AI6" s="10">
        <f t="shared" si="21"/>
        <v>327.792523362294</v>
      </c>
      <c r="AJ6" s="9">
        <f t="shared" si="3"/>
        <v>77.79252336229399</v>
      </c>
      <c r="AK6" s="9">
        <f t="shared" si="22"/>
        <v>98</v>
      </c>
      <c r="AL6" s="9">
        <f t="shared" si="23"/>
        <v>68.0323879794034</v>
      </c>
      <c r="AM6" s="9">
        <f t="shared" si="4"/>
        <v>29.42798328033516</v>
      </c>
      <c r="AN6" s="9">
        <f t="shared" si="24"/>
        <v>170.57201671966484</v>
      </c>
      <c r="AO6" s="9">
        <f t="shared" si="25"/>
        <v>742.0616018514474</v>
      </c>
      <c r="AP6" s="19">
        <f t="shared" si="26"/>
        <v>5.958767962971051</v>
      </c>
      <c r="AQ6" s="19">
        <f t="shared" si="27"/>
        <v>2.1837376412263123</v>
      </c>
      <c r="AR6" s="12">
        <f t="shared" si="28"/>
        <v>10.498738659741885</v>
      </c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</row>
    <row r="7" spans="1:67" ht="15.75" thickBot="1">
      <c r="A7" s="35" t="s">
        <v>46</v>
      </c>
      <c r="B7" s="54">
        <v>60</v>
      </c>
      <c r="C7" s="89"/>
      <c r="D7" s="5" t="s">
        <v>5</v>
      </c>
      <c r="E7" s="14">
        <v>48</v>
      </c>
      <c r="F7" s="16">
        <f t="shared" si="0"/>
        <v>0</v>
      </c>
      <c r="G7" s="44">
        <f t="shared" si="5"/>
        <v>12.264824834142301</v>
      </c>
      <c r="H7" s="44">
        <f t="shared" si="6"/>
        <v>12.264824834142301</v>
      </c>
      <c r="I7" s="46">
        <f t="shared" si="7"/>
        <v>72.79691853123398</v>
      </c>
      <c r="J7" s="45"/>
      <c r="K7" s="14">
        <v>31</v>
      </c>
      <c r="L7" s="13">
        <v>60</v>
      </c>
      <c r="M7" s="17">
        <f t="shared" si="8"/>
        <v>0</v>
      </c>
      <c r="N7" s="44">
        <f t="shared" si="9"/>
        <v>6.447017938368409</v>
      </c>
      <c r="O7" s="44">
        <f t="shared" si="10"/>
        <v>6.447017938368409</v>
      </c>
      <c r="P7" s="46">
        <f t="shared" si="11"/>
        <v>38.26577598746682</v>
      </c>
      <c r="Q7" s="8"/>
      <c r="R7" s="8"/>
      <c r="S7" s="8"/>
      <c r="T7" s="8"/>
      <c r="U7" s="8"/>
      <c r="V7" s="8"/>
      <c r="W7" s="9">
        <f t="shared" si="12"/>
        <v>144.50366387236184</v>
      </c>
      <c r="X7" s="9">
        <f t="shared" si="13"/>
        <v>72</v>
      </c>
      <c r="Y7" s="10">
        <f t="shared" si="14"/>
        <v>158.69182422799014</v>
      </c>
      <c r="Z7" s="9">
        <f t="shared" si="1"/>
        <v>-91.30817577200986</v>
      </c>
      <c r="AA7" s="9">
        <f t="shared" si="15"/>
        <v>72</v>
      </c>
      <c r="AB7" s="9">
        <f t="shared" si="16"/>
        <v>-83.14458545514546</v>
      </c>
      <c r="AC7" s="9">
        <f t="shared" si="2"/>
        <v>71.34717778190495</v>
      </c>
      <c r="AD7" s="9">
        <f t="shared" si="17"/>
        <v>128.65282221809505</v>
      </c>
      <c r="AE7" s="9">
        <f t="shared" si="18"/>
        <v>35.67358889095247</v>
      </c>
      <c r="AF7" s="8"/>
      <c r="AG7" s="9">
        <f t="shared" si="19"/>
        <v>208.5033229592286</v>
      </c>
      <c r="AH7" s="9">
        <f t="shared" si="20"/>
        <v>89</v>
      </c>
      <c r="AI7" s="10">
        <f t="shared" si="21"/>
        <v>240.7222305283827</v>
      </c>
      <c r="AJ7" s="9">
        <f t="shared" si="3"/>
        <v>-9.27776947161729</v>
      </c>
      <c r="AK7" s="9">
        <f t="shared" si="22"/>
        <v>89</v>
      </c>
      <c r="AL7" s="9">
        <f t="shared" si="23"/>
        <v>-8.036007975814297</v>
      </c>
      <c r="AM7" s="9">
        <f t="shared" si="4"/>
        <v>4.779132413135808</v>
      </c>
      <c r="AN7" s="9">
        <f t="shared" si="24"/>
        <v>195.2208675868642</v>
      </c>
      <c r="AO7" s="9">
        <f t="shared" si="25"/>
        <v>606.9872981077806</v>
      </c>
      <c r="AP7" s="19">
        <f t="shared" si="26"/>
        <v>8.660254037844389</v>
      </c>
      <c r="AQ7" s="19">
        <f t="shared" si="27"/>
        <v>0.29008726707486215</v>
      </c>
      <c r="AR7" s="12">
        <f t="shared" si="28"/>
        <v>1.3946503224752986</v>
      </c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</row>
    <row r="8" spans="1:67" ht="15.75" thickBot="1">
      <c r="A8" s="93" t="s">
        <v>0</v>
      </c>
      <c r="B8" s="94"/>
      <c r="C8" s="89"/>
      <c r="D8" s="5" t="s">
        <v>6</v>
      </c>
      <c r="E8" s="14"/>
      <c r="F8" s="16" t="e">
        <f t="shared" si="0"/>
        <v>#DIV/0!</v>
      </c>
      <c r="G8" s="44">
        <f t="shared" si="5"/>
        <v>11.168263607204121</v>
      </c>
      <c r="H8" s="44" t="e">
        <f t="shared" si="6"/>
        <v>#DIV/0!</v>
      </c>
      <c r="I8" s="46" t="e">
        <f t="shared" si="7"/>
        <v>#DIV/0!</v>
      </c>
      <c r="J8" s="45"/>
      <c r="K8" s="14"/>
      <c r="L8" s="13"/>
      <c r="M8" s="17" t="e">
        <f t="shared" si="8"/>
        <v>#DIV/0!</v>
      </c>
      <c r="N8" s="44">
        <f t="shared" si="9"/>
        <v>11.168263607204121</v>
      </c>
      <c r="O8" s="44" t="e">
        <f t="shared" si="10"/>
        <v>#DIV/0!</v>
      </c>
      <c r="P8" s="46" t="e">
        <f t="shared" si="11"/>
        <v>#DIV/0!</v>
      </c>
      <c r="Q8" s="8"/>
      <c r="R8" s="8"/>
      <c r="S8" s="8"/>
      <c r="T8" s="8"/>
      <c r="U8" s="8"/>
      <c r="V8" s="8"/>
      <c r="W8" s="9" t="e">
        <f t="shared" si="12"/>
        <v>#DIV/0!</v>
      </c>
      <c r="X8" s="9">
        <f t="shared" si="13"/>
        <v>120</v>
      </c>
      <c r="Y8" s="10" t="e">
        <f t="shared" si="14"/>
        <v>#DIV/0!</v>
      </c>
      <c r="Z8" s="9" t="e">
        <f t="shared" si="1"/>
        <v>#DIV/0!</v>
      </c>
      <c r="AA8" s="9">
        <f t="shared" si="15"/>
        <v>120</v>
      </c>
      <c r="AB8" s="9" t="e">
        <f t="shared" si="16"/>
        <v>#DIV/0!</v>
      </c>
      <c r="AC8" s="9" t="e">
        <f t="shared" si="2"/>
        <v>#DIV/0!</v>
      </c>
      <c r="AD8" s="9" t="e">
        <f t="shared" si="17"/>
        <v>#DIV/0!</v>
      </c>
      <c r="AE8" s="9" t="e">
        <f t="shared" si="18"/>
        <v>#DIV/0!</v>
      </c>
      <c r="AF8" s="8"/>
      <c r="AG8" s="9" t="e">
        <f t="shared" si="19"/>
        <v>#DIV/0!</v>
      </c>
      <c r="AH8" s="9">
        <f t="shared" si="20"/>
        <v>120</v>
      </c>
      <c r="AI8" s="10" t="e">
        <f t="shared" si="21"/>
        <v>#DIV/0!</v>
      </c>
      <c r="AJ8" s="9" t="e">
        <f t="shared" si="3"/>
        <v>#DIV/0!</v>
      </c>
      <c r="AK8" s="9">
        <f t="shared" si="22"/>
        <v>120</v>
      </c>
      <c r="AL8" s="9" t="e">
        <f t="shared" si="23"/>
        <v>#DIV/0!</v>
      </c>
      <c r="AM8" s="9" t="e">
        <f t="shared" si="4"/>
        <v>#DIV/0!</v>
      </c>
      <c r="AN8" s="9" t="e">
        <f t="shared" si="24"/>
        <v>#DIV/0!</v>
      </c>
      <c r="AO8" s="9">
        <f t="shared" si="25"/>
        <v>1040</v>
      </c>
      <c r="AP8" s="19">
        <f t="shared" si="26"/>
        <v>0</v>
      </c>
      <c r="AQ8" s="19" t="e">
        <f t="shared" si="27"/>
        <v>#DIV/0!</v>
      </c>
      <c r="AR8" s="12" t="e">
        <f t="shared" si="28"/>
        <v>#DIV/0!</v>
      </c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</row>
    <row r="9" spans="1:67" ht="15">
      <c r="A9" s="50" t="s">
        <v>2</v>
      </c>
      <c r="B9" s="53">
        <v>0</v>
      </c>
      <c r="C9" s="89"/>
      <c r="D9" s="5" t="s">
        <v>7</v>
      </c>
      <c r="E9" s="14"/>
      <c r="F9" s="16" t="e">
        <f t="shared" si="0"/>
        <v>#DIV/0!</v>
      </c>
      <c r="G9" s="44">
        <f t="shared" si="5"/>
        <v>11.168263607204121</v>
      </c>
      <c r="H9" s="44" t="e">
        <f t="shared" si="6"/>
        <v>#DIV/0!</v>
      </c>
      <c r="I9" s="46" t="e">
        <f t="shared" si="7"/>
        <v>#DIV/0!</v>
      </c>
      <c r="J9" s="45"/>
      <c r="K9" s="14"/>
      <c r="L9" s="13"/>
      <c r="M9" s="17" t="e">
        <f t="shared" si="8"/>
        <v>#DIV/0!</v>
      </c>
      <c r="N9" s="44">
        <f t="shared" si="9"/>
        <v>11.168263607204121</v>
      </c>
      <c r="O9" s="44" t="e">
        <f t="shared" si="10"/>
        <v>#DIV/0!</v>
      </c>
      <c r="P9" s="46" t="e">
        <f t="shared" si="11"/>
        <v>#DIV/0!</v>
      </c>
      <c r="Q9" s="8"/>
      <c r="R9" s="8"/>
      <c r="S9" s="8"/>
      <c r="T9" s="8"/>
      <c r="U9" s="8"/>
      <c r="V9" s="8"/>
      <c r="W9" s="9" t="e">
        <f t="shared" si="12"/>
        <v>#DIV/0!</v>
      </c>
      <c r="X9" s="9">
        <f t="shared" si="13"/>
        <v>120</v>
      </c>
      <c r="Y9" s="10" t="e">
        <f t="shared" si="14"/>
        <v>#DIV/0!</v>
      </c>
      <c r="Z9" s="9" t="e">
        <f t="shared" si="1"/>
        <v>#DIV/0!</v>
      </c>
      <c r="AA9" s="9">
        <f t="shared" si="15"/>
        <v>120</v>
      </c>
      <c r="AB9" s="9" t="e">
        <f t="shared" si="16"/>
        <v>#DIV/0!</v>
      </c>
      <c r="AC9" s="9" t="e">
        <f t="shared" si="2"/>
        <v>#DIV/0!</v>
      </c>
      <c r="AD9" s="9" t="e">
        <f t="shared" si="17"/>
        <v>#DIV/0!</v>
      </c>
      <c r="AE9" s="9" t="e">
        <f t="shared" si="18"/>
        <v>#DIV/0!</v>
      </c>
      <c r="AF9" s="8"/>
      <c r="AG9" s="9" t="e">
        <f t="shared" si="19"/>
        <v>#DIV/0!</v>
      </c>
      <c r="AH9" s="9">
        <f t="shared" si="20"/>
        <v>120</v>
      </c>
      <c r="AI9" s="10" t="e">
        <f t="shared" si="21"/>
        <v>#DIV/0!</v>
      </c>
      <c r="AJ9" s="9" t="e">
        <f t="shared" si="3"/>
        <v>#DIV/0!</v>
      </c>
      <c r="AK9" s="9">
        <f t="shared" si="22"/>
        <v>120</v>
      </c>
      <c r="AL9" s="9" t="e">
        <f t="shared" si="23"/>
        <v>#DIV/0!</v>
      </c>
      <c r="AM9" s="9" t="e">
        <f t="shared" si="4"/>
        <v>#DIV/0!</v>
      </c>
      <c r="AN9" s="9" t="e">
        <f t="shared" si="24"/>
        <v>#DIV/0!</v>
      </c>
      <c r="AO9" s="9">
        <f t="shared" si="25"/>
        <v>1040</v>
      </c>
      <c r="AP9" s="19">
        <f t="shared" si="26"/>
        <v>0</v>
      </c>
      <c r="AQ9" s="19" t="e">
        <f t="shared" si="27"/>
        <v>#DIV/0!</v>
      </c>
      <c r="AR9" s="12" t="e">
        <f t="shared" si="28"/>
        <v>#DIV/0!</v>
      </c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</row>
    <row r="10" spans="1:67" ht="15">
      <c r="A10" s="51" t="s">
        <v>20</v>
      </c>
      <c r="B10" s="55">
        <v>30</v>
      </c>
      <c r="C10" s="89"/>
      <c r="D10" s="5" t="s">
        <v>8</v>
      </c>
      <c r="E10" s="14"/>
      <c r="F10" s="16" t="e">
        <f t="shared" si="0"/>
        <v>#DIV/0!</v>
      </c>
      <c r="G10" s="44">
        <f t="shared" si="5"/>
        <v>11.168263607204121</v>
      </c>
      <c r="H10" s="44" t="e">
        <f t="shared" si="6"/>
        <v>#DIV/0!</v>
      </c>
      <c r="I10" s="46" t="e">
        <f t="shared" si="7"/>
        <v>#DIV/0!</v>
      </c>
      <c r="J10" s="45"/>
      <c r="K10" s="14"/>
      <c r="L10" s="13"/>
      <c r="M10" s="17" t="e">
        <f t="shared" si="8"/>
        <v>#DIV/0!</v>
      </c>
      <c r="N10" s="44">
        <f t="shared" si="9"/>
        <v>11.168263607204121</v>
      </c>
      <c r="O10" s="44" t="e">
        <f t="shared" si="10"/>
        <v>#DIV/0!</v>
      </c>
      <c r="P10" s="46" t="e">
        <f t="shared" si="11"/>
        <v>#DIV/0!</v>
      </c>
      <c r="Q10" s="8"/>
      <c r="R10" s="8"/>
      <c r="S10" s="8"/>
      <c r="T10" s="8"/>
      <c r="U10" s="8"/>
      <c r="V10" s="8"/>
      <c r="W10" s="9" t="e">
        <f t="shared" si="12"/>
        <v>#DIV/0!</v>
      </c>
      <c r="X10" s="9">
        <f t="shared" si="13"/>
        <v>120</v>
      </c>
      <c r="Y10" s="10" t="e">
        <f t="shared" si="14"/>
        <v>#DIV/0!</v>
      </c>
      <c r="Z10" s="9" t="e">
        <f t="shared" si="1"/>
        <v>#DIV/0!</v>
      </c>
      <c r="AA10" s="9">
        <f t="shared" si="15"/>
        <v>120</v>
      </c>
      <c r="AB10" s="9" t="e">
        <f t="shared" si="16"/>
        <v>#DIV/0!</v>
      </c>
      <c r="AC10" s="9" t="e">
        <f t="shared" si="2"/>
        <v>#DIV/0!</v>
      </c>
      <c r="AD10" s="9" t="e">
        <f t="shared" si="17"/>
        <v>#DIV/0!</v>
      </c>
      <c r="AE10" s="9" t="e">
        <f t="shared" si="18"/>
        <v>#DIV/0!</v>
      </c>
      <c r="AF10" s="8"/>
      <c r="AG10" s="9" t="e">
        <f t="shared" si="19"/>
        <v>#DIV/0!</v>
      </c>
      <c r="AH10" s="9">
        <f t="shared" si="20"/>
        <v>120</v>
      </c>
      <c r="AI10" s="10" t="e">
        <f t="shared" si="21"/>
        <v>#DIV/0!</v>
      </c>
      <c r="AJ10" s="9" t="e">
        <f t="shared" si="3"/>
        <v>#DIV/0!</v>
      </c>
      <c r="AK10" s="9">
        <f t="shared" si="22"/>
        <v>120</v>
      </c>
      <c r="AL10" s="9" t="e">
        <f t="shared" si="23"/>
        <v>#DIV/0!</v>
      </c>
      <c r="AM10" s="9" t="e">
        <f t="shared" si="4"/>
        <v>#DIV/0!</v>
      </c>
      <c r="AN10" s="9" t="e">
        <f t="shared" si="24"/>
        <v>#DIV/0!</v>
      </c>
      <c r="AO10" s="9">
        <f t="shared" si="25"/>
        <v>1040</v>
      </c>
      <c r="AP10" s="19">
        <f t="shared" si="26"/>
        <v>0</v>
      </c>
      <c r="AQ10" s="19" t="e">
        <f t="shared" si="27"/>
        <v>#DIV/0!</v>
      </c>
      <c r="AR10" s="12" t="e">
        <f t="shared" si="28"/>
        <v>#DIV/0!</v>
      </c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</row>
    <row r="11" spans="1:67" ht="14.25" customHeight="1" thickBot="1">
      <c r="A11" s="52" t="s">
        <v>16</v>
      </c>
      <c r="B11" s="54">
        <v>1040</v>
      </c>
      <c r="C11" s="89"/>
      <c r="D11" s="5" t="s">
        <v>9</v>
      </c>
      <c r="E11" s="14"/>
      <c r="F11" s="16" t="e">
        <f t="shared" si="0"/>
        <v>#DIV/0!</v>
      </c>
      <c r="G11" s="44">
        <f t="shared" si="5"/>
        <v>11.168263607204121</v>
      </c>
      <c r="H11" s="44" t="e">
        <f t="shared" si="6"/>
        <v>#DIV/0!</v>
      </c>
      <c r="I11" s="46" t="e">
        <f t="shared" si="7"/>
        <v>#DIV/0!</v>
      </c>
      <c r="J11" s="45"/>
      <c r="K11" s="14"/>
      <c r="L11" s="13"/>
      <c r="M11" s="17" t="e">
        <f t="shared" si="8"/>
        <v>#DIV/0!</v>
      </c>
      <c r="N11" s="44">
        <f t="shared" si="9"/>
        <v>11.168263607204121</v>
      </c>
      <c r="O11" s="44" t="e">
        <f t="shared" si="10"/>
        <v>#DIV/0!</v>
      </c>
      <c r="P11" s="46" t="e">
        <f t="shared" si="11"/>
        <v>#DIV/0!</v>
      </c>
      <c r="Q11" s="8"/>
      <c r="R11" s="8"/>
      <c r="S11" s="8"/>
      <c r="T11" s="8"/>
      <c r="U11" s="8"/>
      <c r="V11" s="8"/>
      <c r="W11" s="9" t="e">
        <f t="shared" si="12"/>
        <v>#DIV/0!</v>
      </c>
      <c r="X11" s="9">
        <f t="shared" si="13"/>
        <v>120</v>
      </c>
      <c r="Y11" s="10" t="e">
        <f t="shared" si="14"/>
        <v>#DIV/0!</v>
      </c>
      <c r="Z11" s="9" t="e">
        <f t="shared" si="1"/>
        <v>#DIV/0!</v>
      </c>
      <c r="AA11" s="9">
        <f t="shared" si="15"/>
        <v>120</v>
      </c>
      <c r="AB11" s="9" t="e">
        <f t="shared" si="16"/>
        <v>#DIV/0!</v>
      </c>
      <c r="AC11" s="9" t="e">
        <f t="shared" si="2"/>
        <v>#DIV/0!</v>
      </c>
      <c r="AD11" s="9" t="e">
        <f t="shared" si="17"/>
        <v>#DIV/0!</v>
      </c>
      <c r="AE11" s="9" t="e">
        <f t="shared" si="18"/>
        <v>#DIV/0!</v>
      </c>
      <c r="AF11" s="8"/>
      <c r="AG11" s="9" t="e">
        <f t="shared" si="19"/>
        <v>#DIV/0!</v>
      </c>
      <c r="AH11" s="9">
        <f t="shared" si="20"/>
        <v>120</v>
      </c>
      <c r="AI11" s="10" t="e">
        <f t="shared" si="21"/>
        <v>#DIV/0!</v>
      </c>
      <c r="AJ11" s="9" t="e">
        <f t="shared" si="3"/>
        <v>#DIV/0!</v>
      </c>
      <c r="AK11" s="9">
        <f t="shared" si="22"/>
        <v>120</v>
      </c>
      <c r="AL11" s="9" t="e">
        <f t="shared" si="23"/>
        <v>#DIV/0!</v>
      </c>
      <c r="AM11" s="9" t="e">
        <f t="shared" si="4"/>
        <v>#DIV/0!</v>
      </c>
      <c r="AN11" s="9" t="e">
        <f t="shared" si="24"/>
        <v>#DIV/0!</v>
      </c>
      <c r="AO11" s="9">
        <f t="shared" si="25"/>
        <v>1040</v>
      </c>
      <c r="AP11" s="19">
        <f t="shared" si="26"/>
        <v>0</v>
      </c>
      <c r="AQ11" s="19" t="e">
        <f t="shared" si="27"/>
        <v>#DIV/0!</v>
      </c>
      <c r="AR11" s="12" t="e">
        <f t="shared" si="28"/>
        <v>#DIV/0!</v>
      </c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</row>
    <row r="12" spans="1:67" ht="15" customHeight="1" thickBot="1">
      <c r="A12" s="47" t="s">
        <v>17</v>
      </c>
      <c r="B12" s="68">
        <f>IF(Y1&gt;0,Y1,"")</f>
        <v>248.00000000000003</v>
      </c>
      <c r="C12" s="89"/>
      <c r="D12" s="5" t="s">
        <v>10</v>
      </c>
      <c r="E12" s="14">
        <v>40</v>
      </c>
      <c r="F12" s="16">
        <f t="shared" si="0"/>
        <v>0</v>
      </c>
      <c r="G12" s="44">
        <f t="shared" si="5"/>
        <v>12.700080782845435</v>
      </c>
      <c r="H12" s="44">
        <f t="shared" si="6"/>
        <v>12.700080782845435</v>
      </c>
      <c r="I12" s="46">
        <f t="shared" si="7"/>
        <v>75.38034652686036</v>
      </c>
      <c r="J12" s="45"/>
      <c r="K12" s="14">
        <v>22</v>
      </c>
      <c r="L12" s="13">
        <v>60</v>
      </c>
      <c r="M12" s="17">
        <f t="shared" si="8"/>
        <v>8.58769810581326</v>
      </c>
      <c r="N12" s="44">
        <f t="shared" si="9"/>
        <v>6.385248507245644</v>
      </c>
      <c r="O12" s="44">
        <f t="shared" si="10"/>
        <v>5.500819692554994</v>
      </c>
      <c r="P12" s="46">
        <f t="shared" si="11"/>
        <v>35.274418921535606</v>
      </c>
      <c r="Q12" s="8"/>
      <c r="R12" s="8"/>
      <c r="S12" s="8"/>
      <c r="T12" s="8"/>
      <c r="U12" s="8"/>
      <c r="V12" s="8"/>
      <c r="W12" s="9">
        <f t="shared" si="12"/>
        <v>167.06474806139875</v>
      </c>
      <c r="X12" s="9">
        <f t="shared" si="13"/>
        <v>80</v>
      </c>
      <c r="Y12" s="10">
        <f t="shared" si="14"/>
        <v>189.97902189350657</v>
      </c>
      <c r="Z12" s="9">
        <f t="shared" si="1"/>
        <v>-60.02097810649343</v>
      </c>
      <c r="AA12" s="9">
        <f t="shared" si="15"/>
        <v>80</v>
      </c>
      <c r="AB12" s="9">
        <f t="shared" si="16"/>
        <v>-52.78156233155545</v>
      </c>
      <c r="AC12" s="9">
        <f t="shared" si="2"/>
        <v>39.17591116653481</v>
      </c>
      <c r="AD12" s="9">
        <f t="shared" si="17"/>
        <v>160.8240888334652</v>
      </c>
      <c r="AE12" s="9">
        <f t="shared" si="18"/>
        <v>19.5879555832674</v>
      </c>
      <c r="AF12" s="8"/>
      <c r="AG12" s="9">
        <f t="shared" si="19"/>
        <v>286.66647079017736</v>
      </c>
      <c r="AH12" s="9">
        <f t="shared" si="20"/>
        <v>98</v>
      </c>
      <c r="AI12" s="10">
        <f t="shared" si="21"/>
        <v>327.792523362294</v>
      </c>
      <c r="AJ12" s="9">
        <f t="shared" si="3"/>
        <v>77.79252336229399</v>
      </c>
      <c r="AK12" s="9">
        <f t="shared" si="22"/>
        <v>98</v>
      </c>
      <c r="AL12" s="9">
        <f t="shared" si="23"/>
        <v>68.0323879794034</v>
      </c>
      <c r="AM12" s="9">
        <f t="shared" si="4"/>
        <v>29.42798328033516</v>
      </c>
      <c r="AN12" s="9">
        <f t="shared" si="24"/>
        <v>170.57201671966484</v>
      </c>
      <c r="AO12" s="9">
        <f t="shared" si="25"/>
        <v>606.9872981077806</v>
      </c>
      <c r="AP12" s="19">
        <f t="shared" si="26"/>
        <v>8.660254037844389</v>
      </c>
      <c r="AQ12" s="19">
        <f t="shared" si="27"/>
        <v>1.7862412060091581</v>
      </c>
      <c r="AR12" s="12">
        <f t="shared" si="28"/>
        <v>8.58769810581326</v>
      </c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</row>
    <row r="13" spans="1:67" ht="14.25" customHeight="1" thickBot="1">
      <c r="A13" s="36" t="s">
        <v>21</v>
      </c>
      <c r="B13" s="56">
        <v>250</v>
      </c>
      <c r="C13" s="89"/>
      <c r="D13" s="5" t="s">
        <v>11</v>
      </c>
      <c r="E13" s="14">
        <v>28</v>
      </c>
      <c r="F13" s="16">
        <f t="shared" si="0"/>
        <v>3.280284187444252</v>
      </c>
      <c r="G13" s="44">
        <f t="shared" si="5"/>
        <v>12.88814410523826</v>
      </c>
      <c r="H13" s="44">
        <f t="shared" si="6"/>
        <v>12.206260632433164</v>
      </c>
      <c r="I13" s="46">
        <f t="shared" si="7"/>
        <v>74.47294853297551</v>
      </c>
      <c r="J13" s="45"/>
      <c r="K13" s="14">
        <v>15</v>
      </c>
      <c r="L13" s="13">
        <v>50</v>
      </c>
      <c r="M13" s="17">
        <f t="shared" si="8"/>
        <v>20.339873505778446</v>
      </c>
      <c r="N13" s="44">
        <f t="shared" si="9"/>
        <v>8.006934933279448</v>
      </c>
      <c r="O13" s="44">
        <f t="shared" si="10"/>
        <v>5.380160034700374</v>
      </c>
      <c r="P13" s="46">
        <f t="shared" si="11"/>
        <v>39.72903302463148</v>
      </c>
      <c r="Q13" s="8"/>
      <c r="R13" s="8"/>
      <c r="S13" s="8"/>
      <c r="T13" s="8"/>
      <c r="U13" s="8"/>
      <c r="V13" s="8"/>
      <c r="W13" s="9">
        <f t="shared" si="12"/>
        <v>228.74047883118712</v>
      </c>
      <c r="X13" s="9">
        <f t="shared" si="13"/>
        <v>92</v>
      </c>
      <c r="Y13" s="10">
        <f t="shared" si="14"/>
        <v>263.96585517339497</v>
      </c>
      <c r="Z13" s="9">
        <f t="shared" si="1"/>
        <v>13.96585517339497</v>
      </c>
      <c r="AA13" s="9">
        <f t="shared" si="15"/>
        <v>92</v>
      </c>
      <c r="AB13" s="9">
        <f t="shared" si="16"/>
        <v>12.102157673199526</v>
      </c>
      <c r="AC13" s="9">
        <f t="shared" si="2"/>
        <v>6.560568374888512</v>
      </c>
      <c r="AD13" s="9">
        <f t="shared" si="17"/>
        <v>193.4394316251115</v>
      </c>
      <c r="AE13" s="9">
        <f t="shared" si="18"/>
        <v>3.280284187444252</v>
      </c>
      <c r="AF13" s="8"/>
      <c r="AG13" s="9">
        <f t="shared" si="19"/>
        <v>414.91208665395277</v>
      </c>
      <c r="AH13" s="9">
        <f t="shared" si="20"/>
        <v>105</v>
      </c>
      <c r="AI13" s="10">
        <f t="shared" si="21"/>
        <v>462.7743001385408</v>
      </c>
      <c r="AJ13" s="9">
        <f t="shared" si="3"/>
        <v>212.7743001385408</v>
      </c>
      <c r="AK13" s="9">
        <f t="shared" si="22"/>
        <v>105</v>
      </c>
      <c r="AL13" s="9">
        <f t="shared" si="23"/>
        <v>190.76821861193935</v>
      </c>
      <c r="AM13" s="9">
        <f t="shared" si="4"/>
        <v>57.01270189221913</v>
      </c>
      <c r="AN13" s="9">
        <f t="shared" si="24"/>
        <v>142.98729810778087</v>
      </c>
      <c r="AO13" s="9">
        <f t="shared" si="25"/>
        <v>742.0616018514474</v>
      </c>
      <c r="AP13" s="19">
        <f t="shared" si="26"/>
        <v>5.958767962971051</v>
      </c>
      <c r="AQ13" s="19">
        <f t="shared" si="27"/>
        <v>4.230693689201917</v>
      </c>
      <c r="AR13" s="12">
        <f t="shared" si="28"/>
        <v>20.339873505778446</v>
      </c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</row>
    <row r="14" spans="1:67" ht="16.5" customHeight="1" thickBot="1">
      <c r="A14" s="37" t="s">
        <v>22</v>
      </c>
      <c r="B14" s="69">
        <f>B25</f>
        <v>250</v>
      </c>
      <c r="C14" s="89"/>
      <c r="D14" s="5" t="s">
        <v>12</v>
      </c>
      <c r="E14" s="14">
        <v>18</v>
      </c>
      <c r="F14" s="16">
        <f t="shared" si="0"/>
        <v>22.50992276841413</v>
      </c>
      <c r="G14" s="44">
        <f t="shared" si="5"/>
        <v>12.614191459063157</v>
      </c>
      <c r="H14" s="44">
        <f t="shared" si="6"/>
        <v>8.034441853748628</v>
      </c>
      <c r="I14" s="46">
        <f t="shared" si="7"/>
        <v>61.27918243355825</v>
      </c>
      <c r="J14" s="45"/>
      <c r="K14" s="14">
        <v>9</v>
      </c>
      <c r="L14" s="13">
        <v>40</v>
      </c>
      <c r="M14" s="17">
        <f t="shared" si="8"/>
        <v>32.77353525421797</v>
      </c>
      <c r="N14" s="44">
        <f t="shared" si="9"/>
        <v>9.222756206812775</v>
      </c>
      <c r="O14" s="44">
        <f t="shared" si="10"/>
        <v>4.347557405441226</v>
      </c>
      <c r="P14" s="46">
        <f t="shared" si="11"/>
        <v>40.272773065806035</v>
      </c>
      <c r="Q14" s="8"/>
      <c r="R14" s="8"/>
      <c r="S14" s="8"/>
      <c r="T14" s="8"/>
      <c r="U14" s="8"/>
      <c r="V14" s="8"/>
      <c r="W14" s="9">
        <f t="shared" si="12"/>
        <v>347.51211753413025</v>
      </c>
      <c r="X14" s="9">
        <f t="shared" si="13"/>
        <v>102</v>
      </c>
      <c r="Y14" s="10">
        <f t="shared" si="14"/>
        <v>392.50366387236187</v>
      </c>
      <c r="Z14" s="9">
        <f t="shared" si="1"/>
        <v>142.50366387236187</v>
      </c>
      <c r="AA14" s="9">
        <f t="shared" si="15"/>
        <v>102</v>
      </c>
      <c r="AB14" s="9">
        <f t="shared" si="16"/>
        <v>126.16888591582769</v>
      </c>
      <c r="AC14" s="9">
        <f t="shared" si="2"/>
        <v>45.01984553682824</v>
      </c>
      <c r="AD14" s="9">
        <f t="shared" si="17"/>
        <v>154.98015446317174</v>
      </c>
      <c r="AE14" s="9">
        <f t="shared" si="18"/>
        <v>22.50992276841413</v>
      </c>
      <c r="AF14" s="8"/>
      <c r="AG14" s="9">
        <f t="shared" si="19"/>
        <v>686.4673334079752</v>
      </c>
      <c r="AH14" s="9">
        <f t="shared" si="20"/>
        <v>111</v>
      </c>
      <c r="AI14" s="10">
        <f t="shared" si="21"/>
        <v>740.0157814064921</v>
      </c>
      <c r="AJ14" s="9">
        <f t="shared" si="3"/>
        <v>490.0157814064921</v>
      </c>
      <c r="AK14" s="9">
        <f t="shared" si="22"/>
        <v>111</v>
      </c>
      <c r="AL14" s="9">
        <f t="shared" si="23"/>
        <v>454.5576395014281</v>
      </c>
      <c r="AM14" s="9">
        <f t="shared" si="4"/>
        <v>82.1090014849674</v>
      </c>
      <c r="AN14" s="9">
        <f t="shared" si="24"/>
        <v>117.8909985150326</v>
      </c>
      <c r="AO14" s="9">
        <f t="shared" si="25"/>
        <v>830.2250922056801</v>
      </c>
      <c r="AP14" s="19">
        <f t="shared" si="26"/>
        <v>4.195498155886399</v>
      </c>
      <c r="AQ14" s="19">
        <f t="shared" si="27"/>
        <v>6.816895332877338</v>
      </c>
      <c r="AR14" s="12">
        <f t="shared" si="28"/>
        <v>32.77353525421797</v>
      </c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</row>
    <row r="15" spans="1:67" ht="15.75" thickBot="1">
      <c r="A15" s="37" t="s">
        <v>1</v>
      </c>
      <c r="B15" s="70">
        <f>IF(AND(B13&lt;Y1,B13&gt;0),AB2,"")</f>
      </c>
      <c r="C15" s="90"/>
      <c r="D15" s="6" t="s">
        <v>13</v>
      </c>
      <c r="E15" s="15">
        <v>13</v>
      </c>
      <c r="F15" s="16">
        <f t="shared" si="0"/>
        <v>32.59631710744105</v>
      </c>
      <c r="G15" s="44">
        <f t="shared" si="5"/>
        <v>12.332506132899304</v>
      </c>
      <c r="H15" s="44">
        <f t="shared" si="6"/>
        <v>5.848727412940478</v>
      </c>
      <c r="I15" s="46">
        <f t="shared" si="7"/>
        <v>53.95665226092053</v>
      </c>
      <c r="J15" s="48"/>
      <c r="K15" s="15">
        <v>8</v>
      </c>
      <c r="L15" s="13">
        <v>30</v>
      </c>
      <c r="M15" s="17">
        <f t="shared" si="8"/>
        <v>37.23640942583224</v>
      </c>
      <c r="N15" s="44">
        <f t="shared" si="9"/>
        <v>10.35503370014549</v>
      </c>
      <c r="O15" s="44">
        <f t="shared" si="10"/>
        <v>4.135932498905039</v>
      </c>
      <c r="P15" s="46">
        <f t="shared" si="11"/>
        <v>43.00500415197807</v>
      </c>
      <c r="Q15" s="8"/>
      <c r="R15" s="8"/>
      <c r="S15" s="8"/>
      <c r="T15" s="8"/>
      <c r="U15" s="8"/>
      <c r="V15" s="8"/>
      <c r="W15" s="9">
        <f>(SIN(RADIANS($B$4-$B$9))*$B$3)/(SIN(RADIANS($B$9+E15)))</f>
        <v>477.3800700000992</v>
      </c>
      <c r="X15" s="9">
        <f>180-($B$4-$B$9)-($B$9+E15)</f>
        <v>107</v>
      </c>
      <c r="Y15" s="10">
        <f>SQRT((W15^2+$B$3^2)-(2*W15*$B$3*(COS(RADIANS(X15)))))</f>
        <v>527.1448497331768</v>
      </c>
      <c r="Z15" s="9">
        <f t="shared" si="1"/>
        <v>277.1448497331768</v>
      </c>
      <c r="AA15" s="9">
        <f>180-($B$7-$B$9)-($B$9+E15)</f>
        <v>107</v>
      </c>
      <c r="AB15" s="9">
        <f>(SIN(RADIANS($B$7-$B$9))*Z15)/(SIN(RADIANS(AA15)))</f>
        <v>250.98116358863888</v>
      </c>
      <c r="AC15" s="9">
        <f t="shared" si="2"/>
        <v>65.19263421488212</v>
      </c>
      <c r="AD15" s="9">
        <f t="shared" si="17"/>
        <v>134.8073657851179</v>
      </c>
      <c r="AE15" s="9">
        <f t="shared" si="18"/>
        <v>32.59631710744105</v>
      </c>
      <c r="AF15" s="8"/>
      <c r="AG15" s="9">
        <f>(SIN(RADIANS($B$4-$B$9))*$B$3)/(SIN(RADIANS($B$9+K15)))</f>
        <v>771.6085172240593</v>
      </c>
      <c r="AH15" s="9">
        <f>180-($B$4-$B$9)-($B$9+K15)</f>
        <v>112</v>
      </c>
      <c r="AI15" s="10">
        <f>SQRT((AG15^2+$B$3^2)-(2*AG15*$B$3*(COS(RADIANS(AH15)))))</f>
        <v>826.0992761760159</v>
      </c>
      <c r="AJ15" s="9">
        <f t="shared" si="3"/>
        <v>576.0992761760159</v>
      </c>
      <c r="AK15" s="9">
        <f>180-($B$7-$B$9)-($B$9+K15)</f>
        <v>112</v>
      </c>
      <c r="AL15" s="9">
        <f>(SIN(RADIANS($B$7-$B$9))*AJ15)/(SIN(RADIANS(AK15)))</f>
        <v>538.0988957183342</v>
      </c>
      <c r="AM15" s="9">
        <f t="shared" si="4"/>
        <v>86.47424384209833</v>
      </c>
      <c r="AN15" s="9">
        <f t="shared" si="24"/>
        <v>113.52575615790167</v>
      </c>
      <c r="AO15" s="9">
        <f t="shared" si="25"/>
        <v>895.6624327025936</v>
      </c>
      <c r="AP15" s="19">
        <f t="shared" si="26"/>
        <v>2.8867513459481278</v>
      </c>
      <c r="AQ15" s="19">
        <f t="shared" si="27"/>
        <v>7.745173160573107</v>
      </c>
      <c r="AR15" s="12">
        <f t="shared" si="28"/>
        <v>37.23640942583224</v>
      </c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</row>
    <row r="16" spans="1:67" ht="15.75" thickBot="1">
      <c r="A16" s="38"/>
      <c r="B16" s="18"/>
      <c r="C16" s="29"/>
      <c r="D16" s="86" t="str">
        <f>"Berechnung bei manuell gewähltem Abstand mit (cm)    "&amp;B13</f>
        <v>Berechnung bei manuell gewähltem Abstand mit (cm)    250</v>
      </c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87"/>
      <c r="Q16" s="8"/>
      <c r="R16" s="8"/>
      <c r="S16" s="8"/>
      <c r="T16" s="8"/>
      <c r="U16" s="8"/>
      <c r="V16" s="8"/>
      <c r="W16" s="11"/>
      <c r="X16" s="11"/>
      <c r="Y16" s="11"/>
      <c r="Z16" s="11"/>
      <c r="AA16" s="11"/>
      <c r="AB16" s="11"/>
      <c r="AC16" s="11"/>
      <c r="AD16" s="11"/>
      <c r="AE16" s="11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</row>
    <row r="17" spans="1:67" ht="9.75" customHeight="1">
      <c r="A17" s="102" t="s">
        <v>52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4"/>
      <c r="Q17" s="8"/>
      <c r="R17" s="8"/>
      <c r="S17" s="8"/>
      <c r="T17" s="8"/>
      <c r="U17" s="8"/>
      <c r="V17" s="8"/>
      <c r="W17" s="11"/>
      <c r="X17" s="11"/>
      <c r="Y17" s="11"/>
      <c r="Z17" s="11"/>
      <c r="AA17" s="11"/>
      <c r="AB17" s="11"/>
      <c r="AC17" s="11"/>
      <c r="AD17" s="11"/>
      <c r="AE17" s="11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</row>
    <row r="18" spans="1:67" ht="12" customHeight="1" thickBot="1">
      <c r="A18" s="105"/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7"/>
      <c r="Q18" s="8"/>
      <c r="R18" s="8"/>
      <c r="S18" s="8"/>
      <c r="T18" s="8"/>
      <c r="U18" s="8"/>
      <c r="V18" s="8"/>
      <c r="W18" s="11"/>
      <c r="X18" s="11"/>
      <c r="Y18" s="11"/>
      <c r="Z18" s="11"/>
      <c r="AA18" s="11"/>
      <c r="AB18" s="11"/>
      <c r="AC18" s="11"/>
      <c r="AD18" s="11"/>
      <c r="AE18" s="11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</row>
    <row r="19" spans="1:67" ht="15.75" thickBot="1">
      <c r="A19" s="86" t="s">
        <v>55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87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</row>
    <row r="20" spans="1:67" ht="15.75" thickBot="1">
      <c r="A20" s="39"/>
      <c r="B20" s="31"/>
      <c r="C20" s="30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</row>
    <row r="21" spans="1:67" ht="15.75" thickBot="1">
      <c r="A21" s="86" t="s">
        <v>23</v>
      </c>
      <c r="B21" s="87"/>
      <c r="C21" s="8"/>
      <c r="D21" s="114" t="s">
        <v>49</v>
      </c>
      <c r="E21" s="115"/>
      <c r="F21" s="115"/>
      <c r="G21" s="115"/>
      <c r="H21" s="115"/>
      <c r="I21" s="115"/>
      <c r="J21" s="115"/>
      <c r="K21" s="116"/>
      <c r="L21" s="7"/>
      <c r="M21" s="7"/>
      <c r="N21" s="7"/>
      <c r="O21" s="7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</row>
    <row r="22" spans="1:67" ht="15">
      <c r="A22" s="64" t="s">
        <v>37</v>
      </c>
      <c r="B22" s="58">
        <f>(B11*B3)/10000</f>
        <v>12.896</v>
      </c>
      <c r="C22" s="8"/>
      <c r="D22" s="108" t="s">
        <v>28</v>
      </c>
      <c r="E22" s="109"/>
      <c r="F22" s="109"/>
      <c r="G22" s="109"/>
      <c r="H22" s="109"/>
      <c r="I22" s="109"/>
      <c r="J22" s="110"/>
      <c r="K22" s="25">
        <v>30</v>
      </c>
      <c r="L22" s="7"/>
      <c r="M22" s="7"/>
      <c r="N22" s="7"/>
      <c r="O22" s="7"/>
      <c r="P22" s="7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</row>
    <row r="23" spans="1:67" ht="15">
      <c r="A23" s="57" t="s">
        <v>38</v>
      </c>
      <c r="B23" s="59">
        <f>(B11*B6)/10000</f>
        <v>20.8</v>
      </c>
      <c r="C23" s="8"/>
      <c r="D23" s="111" t="s">
        <v>27</v>
      </c>
      <c r="E23" s="112"/>
      <c r="F23" s="112"/>
      <c r="G23" s="112"/>
      <c r="H23" s="112"/>
      <c r="I23" s="112"/>
      <c r="J23" s="113"/>
      <c r="K23" s="24">
        <v>20</v>
      </c>
      <c r="L23" s="7"/>
      <c r="M23" s="7"/>
      <c r="N23" s="7"/>
      <c r="O23" s="7"/>
      <c r="P23" s="7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</row>
    <row r="24" spans="1:67" ht="15">
      <c r="A24" s="57" t="s">
        <v>18</v>
      </c>
      <c r="B24" s="59">
        <f>B22+B23</f>
        <v>33.696</v>
      </c>
      <c r="C24" s="8"/>
      <c r="D24" s="111" t="s">
        <v>25</v>
      </c>
      <c r="E24" s="112"/>
      <c r="F24" s="112"/>
      <c r="G24" s="112"/>
      <c r="H24" s="112"/>
      <c r="I24" s="112"/>
      <c r="J24" s="113"/>
      <c r="K24" s="24">
        <v>6</v>
      </c>
      <c r="L24" s="7"/>
      <c r="M24" s="7"/>
      <c r="N24" s="7"/>
      <c r="O24" s="7"/>
      <c r="P24" s="7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</row>
    <row r="25" spans="1:67" ht="15">
      <c r="A25" s="57" t="s">
        <v>24</v>
      </c>
      <c r="B25" s="60">
        <f>B13*SIN(RADIANS(180-90-B9))</f>
        <v>250</v>
      </c>
      <c r="C25" s="8"/>
      <c r="D25" s="111" t="s">
        <v>26</v>
      </c>
      <c r="E25" s="112"/>
      <c r="F25" s="112"/>
      <c r="G25" s="112"/>
      <c r="H25" s="112"/>
      <c r="I25" s="112"/>
      <c r="J25" s="112"/>
      <c r="K25" s="27">
        <v>1</v>
      </c>
      <c r="L25" s="7"/>
      <c r="M25" s="7"/>
      <c r="N25" s="7"/>
      <c r="O25" s="7"/>
      <c r="P25" s="7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</row>
    <row r="26" spans="1:67" ht="15.75" thickBot="1">
      <c r="A26" s="57"/>
      <c r="B26" s="61"/>
      <c r="C26" s="8"/>
      <c r="D26" s="117" t="s">
        <v>31</v>
      </c>
      <c r="E26" s="118"/>
      <c r="F26" s="118"/>
      <c r="G26" s="118"/>
      <c r="H26" s="118"/>
      <c r="I26" s="118"/>
      <c r="J26" s="119"/>
      <c r="K26" s="23">
        <v>50</v>
      </c>
      <c r="L26" s="7"/>
      <c r="M26" s="7"/>
      <c r="N26" s="7"/>
      <c r="O26" s="7"/>
      <c r="P26" s="7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</row>
    <row r="27" spans="1:67" ht="15">
      <c r="A27" s="57"/>
      <c r="B27" s="61"/>
      <c r="C27" s="8"/>
      <c r="D27" s="95" t="s">
        <v>32</v>
      </c>
      <c r="E27" s="96"/>
      <c r="F27" s="96"/>
      <c r="G27" s="96"/>
      <c r="H27" s="96"/>
      <c r="I27" s="96"/>
      <c r="J27" s="97"/>
      <c r="K27" s="22">
        <f>K24*SIN(RADIANS(90-K22))</f>
        <v>5.196152422706632</v>
      </c>
      <c r="L27" s="7"/>
      <c r="M27" s="7"/>
      <c r="N27" s="7"/>
      <c r="O27" s="7"/>
      <c r="P27" s="7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</row>
    <row r="28" spans="1:67" ht="15">
      <c r="A28" s="57"/>
      <c r="B28" s="61"/>
      <c r="C28" s="8"/>
      <c r="D28" s="98" t="s">
        <v>33</v>
      </c>
      <c r="E28" s="99"/>
      <c r="F28" s="99"/>
      <c r="G28" s="99"/>
      <c r="H28" s="99"/>
      <c r="I28" s="99"/>
      <c r="J28" s="100"/>
      <c r="K28" s="20">
        <f>K25*SIN(RADIANS(90-(90-K26-K23)))</f>
        <v>0.9396926207859083</v>
      </c>
      <c r="L28" s="7"/>
      <c r="M28" s="7"/>
      <c r="N28" s="7"/>
      <c r="O28" s="7"/>
      <c r="P28" s="7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</row>
    <row r="29" spans="1:67" ht="15">
      <c r="A29" s="57"/>
      <c r="B29" s="61"/>
      <c r="C29" s="8"/>
      <c r="D29" s="98" t="s">
        <v>18</v>
      </c>
      <c r="E29" s="99"/>
      <c r="F29" s="99"/>
      <c r="G29" s="99"/>
      <c r="H29" s="99"/>
      <c r="I29" s="99"/>
      <c r="J29" s="100"/>
      <c r="K29" s="26">
        <f>K24*K25</f>
        <v>6</v>
      </c>
      <c r="L29" s="7"/>
      <c r="M29" s="7"/>
      <c r="N29" s="7"/>
      <c r="O29" s="7"/>
      <c r="P29" s="7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</row>
    <row r="30" spans="1:67" ht="15.75" thickBot="1">
      <c r="A30" s="57"/>
      <c r="B30" s="61"/>
      <c r="C30" s="8"/>
      <c r="D30" s="83" t="s">
        <v>29</v>
      </c>
      <c r="E30" s="84"/>
      <c r="F30" s="84"/>
      <c r="G30" s="84"/>
      <c r="H30" s="84"/>
      <c r="I30" s="84"/>
      <c r="J30" s="85"/>
      <c r="K30" s="21">
        <f>K27*K28</f>
        <v>4.882786088096242</v>
      </c>
      <c r="L30" s="7"/>
      <c r="M30" s="7"/>
      <c r="N30" s="7"/>
      <c r="O30" s="7"/>
      <c r="P30" s="7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</row>
    <row r="31" spans="1:67" ht="15.75" thickBot="1">
      <c r="A31" s="62"/>
      <c r="B31" s="63"/>
      <c r="C31" s="8"/>
      <c r="D31" s="71" t="s">
        <v>30</v>
      </c>
      <c r="E31" s="72"/>
      <c r="F31" s="72"/>
      <c r="G31" s="72"/>
      <c r="H31" s="72"/>
      <c r="I31" s="72"/>
      <c r="J31" s="73"/>
      <c r="K31" s="28">
        <f>K30/(K29/100)</f>
        <v>81.37976813493736</v>
      </c>
      <c r="L31" s="7"/>
      <c r="M31" s="7"/>
      <c r="N31" s="7"/>
      <c r="O31" s="7"/>
      <c r="P31" s="7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</row>
    <row r="32" spans="1:67" ht="15">
      <c r="A32" s="40"/>
      <c r="B32" s="7"/>
      <c r="C32" s="8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</row>
    <row r="33" spans="1:67" ht="15">
      <c r="A33" s="40"/>
      <c r="B33" s="7"/>
      <c r="C33" s="8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</row>
    <row r="34" spans="1:67" ht="15">
      <c r="A34" s="40"/>
      <c r="B34" s="7"/>
      <c r="C34" s="8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</row>
    <row r="35" spans="1:67" ht="15">
      <c r="A35" s="40"/>
      <c r="B35" s="7"/>
      <c r="C35" s="8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</row>
    <row r="36" spans="1:67" ht="15">
      <c r="A36" s="40"/>
      <c r="B36" s="7"/>
      <c r="C36" s="8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</row>
    <row r="37" spans="1:67" ht="15">
      <c r="A37" s="40"/>
      <c r="B37" s="7"/>
      <c r="C37" s="8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</row>
    <row r="38" spans="1:67" ht="15">
      <c r="A38" s="40"/>
      <c r="B38" s="7"/>
      <c r="C38" s="8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</row>
    <row r="39" spans="1:67" ht="15">
      <c r="A39" s="40"/>
      <c r="B39" s="7"/>
      <c r="C39" s="8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</row>
    <row r="40" spans="1:67" ht="15">
      <c r="A40" s="40"/>
      <c r="B40" s="7"/>
      <c r="C40" s="8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</row>
    <row r="41" spans="1:67" ht="15">
      <c r="A41" s="40"/>
      <c r="B41" s="7"/>
      <c r="C41" s="8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</row>
    <row r="42" spans="1:67" ht="15">
      <c r="A42" s="40"/>
      <c r="B42" s="7"/>
      <c r="C42" s="8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</row>
    <row r="43" spans="1:67" ht="15">
      <c r="A43" s="40"/>
      <c r="B43" s="7"/>
      <c r="C43" s="8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</row>
    <row r="44" spans="1:67" ht="15">
      <c r="A44" s="41"/>
      <c r="B44" s="3"/>
      <c r="C44" s="2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</row>
    <row r="45" spans="1:67" ht="15">
      <c r="A45" s="41"/>
      <c r="B45" s="3"/>
      <c r="C45" s="2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</row>
    <row r="46" spans="1:67" ht="15">
      <c r="A46" s="41"/>
      <c r="B46" s="3"/>
      <c r="C46" s="2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</row>
    <row r="47" spans="1:67" ht="15">
      <c r="A47" s="41"/>
      <c r="B47" s="3"/>
      <c r="C47" s="2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</row>
    <row r="48" spans="1:67" ht="15">
      <c r="A48" s="41"/>
      <c r="B48" s="3"/>
      <c r="C48" s="2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</row>
    <row r="49" spans="1:67" ht="15">
      <c r="A49" s="41"/>
      <c r="B49" s="3"/>
      <c r="C49" s="2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</row>
  </sheetData>
  <sheetProtection/>
  <mergeCells count="23">
    <mergeCell ref="D16:P16"/>
    <mergeCell ref="A8:B8"/>
    <mergeCell ref="D21:K21"/>
    <mergeCell ref="D26:J26"/>
    <mergeCell ref="D27:J27"/>
    <mergeCell ref="D28:J28"/>
    <mergeCell ref="D29:J29"/>
    <mergeCell ref="A19:P19"/>
    <mergeCell ref="A17:P18"/>
    <mergeCell ref="D22:J22"/>
    <mergeCell ref="D23:J23"/>
    <mergeCell ref="D24:J24"/>
    <mergeCell ref="D25:J25"/>
    <mergeCell ref="D31:J31"/>
    <mergeCell ref="K2:P2"/>
    <mergeCell ref="D2:I2"/>
    <mergeCell ref="A1:L1"/>
    <mergeCell ref="M1:P1"/>
    <mergeCell ref="D30:J30"/>
    <mergeCell ref="A21:B21"/>
    <mergeCell ref="C2:C15"/>
    <mergeCell ref="A2:B2"/>
    <mergeCell ref="A5:B5"/>
  </mergeCells>
  <conditionalFormatting sqref="F4:F15 M4:M15">
    <cfRule type="colorScale" priority="6" dxfId="0">
      <colorScale>
        <cfvo type="num" val="0"/>
        <cfvo type="num" val="50"/>
        <color theme="5" tint="0.7999799847602844"/>
        <color rgb="FFFF0000"/>
      </colorScale>
    </cfRule>
  </conditionalFormatting>
  <conditionalFormatting sqref="I4:J15 P4:P15">
    <cfRule type="colorScale" priority="3" dxfId="0">
      <colorScale>
        <cfvo type="num" val="30"/>
        <cfvo type="num" val="100"/>
        <color rgb="FFFF0000"/>
        <color rgb="FF00B050"/>
      </colorScale>
    </cfRule>
  </conditionalFormatting>
  <printOptions/>
  <pageMargins left="0.7" right="0.7" top="0.787401575" bottom="0.787401575" header="0.3" footer="0.3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Manfred</dc:creator>
  <cp:keywords/>
  <dc:description/>
  <cp:lastModifiedBy>Medion</cp:lastModifiedBy>
  <dcterms:created xsi:type="dcterms:W3CDTF">2011-04-19T06:57:04Z</dcterms:created>
  <dcterms:modified xsi:type="dcterms:W3CDTF">2013-05-20T20:02:45Z</dcterms:modified>
  <cp:category/>
  <cp:version/>
  <cp:contentType/>
  <cp:contentStatus/>
</cp:coreProperties>
</file>